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802"/>
  </bookViews>
  <sheets>
    <sheet name="清单" sheetId="14" r:id="rId1"/>
    <sheet name="计算式" sheetId="7" state="hidden" r:id="rId2"/>
  </sheets>
  <definedNames>
    <definedName name="__Imp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<sst xmlns="http://schemas.openxmlformats.org/spreadsheetml/2006/main" count="300" uniqueCount="215">
  <si>
    <t>淳安县第一人民医院功能提升改造项目(二期)院史陈列馆优化提升项目采购参数</t>
  </si>
  <si>
    <t>序号</t>
  </si>
  <si>
    <t>展区</t>
  </si>
  <si>
    <t>名称</t>
  </si>
  <si>
    <t>规格型号</t>
  </si>
  <si>
    <t>单位</t>
  </si>
  <si>
    <t>数量</t>
  </si>
  <si>
    <t>备注</t>
  </si>
  <si>
    <t>多媒体互动展项工程</t>
  </si>
  <si>
    <t>党建</t>
  </si>
  <si>
    <t>65寸触摸一体机</t>
  </si>
  <si>
    <t>定制65触摸一体机
1、屏幕比例：16:9；
2、对比度：5000：1；
3、响应时间：8ms
4、分辨率：3840×2160；
5、刷屏率：60Hz；
6、支持来电自启；
8、mini工控主板I5、 8G、 256G固态硬盘</t>
  </si>
  <si>
    <t>台</t>
  </si>
  <si>
    <t>一体机安装支架-65寸</t>
  </si>
  <si>
    <t>定制一体机安装支架，液压安装支架</t>
  </si>
  <si>
    <t>套</t>
  </si>
  <si>
    <t>触摸软件</t>
  </si>
  <si>
    <t>资料收集整理细化、风格设计/UI设计制作、唤醒触发及响应方式,设计制作、程序框架制作、触摸互动内容制作，不含音视频制作</t>
  </si>
  <si>
    <t>微观大冒险</t>
  </si>
  <si>
    <t>信号放大器</t>
  </si>
  <si>
    <t>显微镜信号传输器</t>
  </si>
  <si>
    <t>影像探秘空间</t>
  </si>
  <si>
    <t>内容制作-影片剪辑</t>
  </si>
  <si>
    <t>资料收集整理细化、创意策划及分镜头脚本、平面背景风格设计、过渡特效合成、渲染调色、素材包装剪辑输出、数字(视频/音频)内容合成，</t>
  </si>
  <si>
    <t>秒</t>
  </si>
  <si>
    <t>细胞攻坚战</t>
  </si>
  <si>
    <t>触摸互动软件（上下屏互动）</t>
  </si>
  <si>
    <t>洗手观察站</t>
  </si>
  <si>
    <t>32寸触摸一体机</t>
  </si>
  <si>
    <t>定制32寸显示一体机
1、屏幕比例：16:9；
2、对比度：5000：1；
3、响应时间：8ms
4、分辨率：1920×1080；
5、刷屏率：60Hz；
6、支持来电自启；
8、mini工控主板I5、 8G、 256G固态硬盘</t>
  </si>
  <si>
    <t>一体机安装支架-32寸</t>
  </si>
  <si>
    <t>互动模块</t>
  </si>
  <si>
    <t>1点感应模块及7点灯光控制模块</t>
  </si>
  <si>
    <t>互动控制软件</t>
  </si>
  <si>
    <t>定制洗手互动软件：按照墙面七步洗手法完成动作，根据视频内容步骤，灯光同步点亮。</t>
  </si>
  <si>
    <t>医生训练营</t>
  </si>
  <si>
    <t>32 寸触摸一体机</t>
  </si>
  <si>
    <t>定制32 寸触摸一体机
1 、屏幕比例：16:9；
2 、对比度：5000：1；
3 、响应时间：8ms
4 、分辨率：1920×1080；
5 、刷屏率：60Hz；
6 、支持来电自启；
8 、mini 工控主板 I5 、  8G 、  256G 固态硬盘</t>
  </si>
  <si>
    <t>15点灯光控制模块</t>
  </si>
  <si>
    <t>1、急救流程互动：点击屏幕模拟拨打电话，触发流程图灯光，声音同步播放急救指导。</t>
  </si>
  <si>
    <t>签名软件</t>
  </si>
  <si>
    <t>签名软件（触摸端和显示端）</t>
  </si>
  <si>
    <t>资料收集整理细化、风格设计/UI设计制作、唤醒触发及响应方式设计制作、程序框架制作、触摸签名软件制作，</t>
  </si>
  <si>
    <t>线材辅料</t>
  </si>
  <si>
    <t>新的线路铺设，线材辅料</t>
  </si>
  <si>
    <t>项</t>
  </si>
  <si>
    <t>基本做法：3D建模打印，内置互动灯光和配套控制</t>
  </si>
  <si>
    <t>心脏信息互动模型</t>
  </si>
  <si>
    <t>3D建模打印心脏模型，表面细节人工打磨、上色、内置流水灯带和配套控制器安装、仿心跳的震动，观察灯光沿心房、心室及血流路径依次亮起。</t>
  </si>
  <si>
    <t>肺部信息互动模型</t>
  </si>
  <si>
    <t>3D建模打印肺部放大模型，表面细节人工打磨、上色、内置灯带和配套控制器安装，跟随提示深呼吸，观察支气管树灯光随呼吸节奏明暗变化。</t>
  </si>
  <si>
    <t>消化信息系统互动模型</t>
  </si>
  <si>
    <t>3D建模打印消化系统模型，内置流水灯带和配套控制器安装，模拟食物从口腔、胃、小肠至大肠，灯光依次点亮，了解食物消化吸收的主要过程。</t>
  </si>
  <si>
    <t>圆形灯箱</t>
  </si>
  <si>
    <t>定制圆形超薄小灯箱，直径200-500mm以内，灯箱画面为正确洗手7步骤</t>
  </si>
  <si>
    <t>个</t>
  </si>
  <si>
    <t>生命接力站</t>
  </si>
  <si>
    <t>方形流线型灯箱</t>
  </si>
  <si>
    <t>定制方形灯箱，内置15个分开控制灯组，对应灯箱画面，15个抢救步骤画面，可依次点亮对应抢救步骤灯箱</t>
  </si>
  <si>
    <t>心肺复苏模拟人半身</t>
  </si>
  <si>
    <t>急救训练仿真模型 多功能教学模型 CPR心脏按压人工呼吸教学用模拟人全身 半身语音+LED灯指示</t>
  </si>
  <si>
    <t>展厅墙面</t>
  </si>
  <si>
    <t>墙面新增磁吸展板</t>
  </si>
  <si>
    <t>墙面磁吸板位置背板增加铁板和配套磁吸展板</t>
  </si>
  <si>
    <t>块</t>
  </si>
  <si>
    <t>时光年轮区域</t>
  </si>
  <si>
    <t>“时光年轮 ”处展台变化增加差价</t>
  </si>
  <si>
    <t>1.定制烤漆展台，配套玻璃罩，内置积木台（展示物甲供），暂定尺寸L5900*H1170*W550mm（以二次深化为准）</t>
  </si>
  <si>
    <t>器械进化史</t>
  </si>
  <si>
    <t>立式小展台</t>
  </si>
  <si>
    <t>1.定制烤漆展台，配套玻璃罩，暂定尺寸L450*W400*H1300mm以内（详细尺寸二次深化为准）</t>
  </si>
  <si>
    <t>3D打印模型</t>
  </si>
  <si>
    <t>1.定制医疗器械相关道具，旧物仿制或3D打印微缩模型，安装在展台玻璃罩内</t>
  </si>
  <si>
    <t>组</t>
  </si>
  <si>
    <t>计算式</t>
  </si>
  <si>
    <t>工程名称：东宏股份智慧体验馆改造项目</t>
  </si>
  <si>
    <t>项目名称</t>
  </si>
  <si>
    <t>项目特征</t>
  </si>
  <si>
    <t>汇总</t>
  </si>
  <si>
    <t>EL-01</t>
  </si>
  <si>
    <t>EL-02</t>
  </si>
  <si>
    <t>EL-03</t>
  </si>
  <si>
    <t>EL-04</t>
  </si>
  <si>
    <t>EL-05</t>
  </si>
  <si>
    <t>EL-06</t>
  </si>
  <si>
    <t>EL-07</t>
  </si>
  <si>
    <t>EL-08</t>
  </si>
  <si>
    <t>EL-09</t>
  </si>
  <si>
    <t>EL-10</t>
  </si>
  <si>
    <t>EL-11</t>
  </si>
  <si>
    <t>EL-12</t>
  </si>
  <si>
    <t>EL-13</t>
  </si>
  <si>
    <t>EL-14</t>
  </si>
  <si>
    <t>EL-15</t>
  </si>
  <si>
    <t>EL-16</t>
  </si>
  <si>
    <t>四</t>
  </si>
  <si>
    <t>墙面</t>
  </si>
  <si>
    <t>轻钢龙骨隔墙</t>
  </si>
  <si>
    <t>1.100系轻钢龙骨，内置隔音棉                            2.横龙骨：U75*40*0.6mm 竖龙骨C75*50*0.6mm</t>
  </si>
  <si>
    <t>m2</t>
  </si>
  <si>
    <t>造型木龙骨基础</t>
  </si>
  <si>
    <t>1.木龙骨基础30*40，刷防火涂料</t>
  </si>
  <si>
    <t>基层板</t>
  </si>
  <si>
    <t>1.12mm厚阻燃板基层2400*1200mm</t>
  </si>
  <si>
    <t>碳晶板</t>
  </si>
  <si>
    <t>1.8mm碳晶板饰面，局部热弯弧度处理</t>
  </si>
  <si>
    <t>9.5mm厚石膏板</t>
  </si>
  <si>
    <t>1.9.5mm厚石膏板2400*1200mm</t>
  </si>
  <si>
    <t>画面基层处理</t>
  </si>
  <si>
    <t>1.板缝贴胶带、点锈，刮腻子三遍、画面基膜</t>
  </si>
  <si>
    <t>12mm厚密度板</t>
  </si>
  <si>
    <t>1.12mm密度板造型</t>
  </si>
  <si>
    <t>水性漆饰面</t>
  </si>
  <si>
    <t>1.板缝贴胶带、点锈，刮腻子三遍、水性漆</t>
  </si>
  <si>
    <t>新作玻璃饰面</t>
  </si>
  <si>
    <t>1.12mm钢化玻璃新作</t>
  </si>
  <si>
    <t>1.15mm超白玻璃</t>
  </si>
  <si>
    <t>玻璃隔板</t>
  </si>
  <si>
    <t>1.15mm超白玻璃隔板W200mm</t>
  </si>
  <si>
    <t>m</t>
  </si>
  <si>
    <t>不锈钢包边</t>
  </si>
  <si>
    <t>1.12mm阻燃板基层，黑钛不锈钢包边W40mm内</t>
  </si>
  <si>
    <t>不锈钢造型包边</t>
  </si>
  <si>
    <t>1.12mm阻燃板基层，黑钛不锈钢包边120mm以内</t>
  </si>
  <si>
    <t>蓝色涂料边框</t>
  </si>
  <si>
    <t>1.12mm阻燃板                                        2.9.5mm厚石膏板+蓝色涂料</t>
  </si>
  <si>
    <t>圆形屏幕造型结构</t>
  </si>
  <si>
    <t>1.钢木圆形框架</t>
  </si>
  <si>
    <t>金属门套</t>
  </si>
  <si>
    <t>1.12mm阻燃板                                        2.镜面不锈钢饰面</t>
  </si>
  <si>
    <t>墙面吸音板</t>
  </si>
  <si>
    <t>墙面壁龛</t>
  </si>
  <si>
    <t>1.内凹形墙面壁龛，亚克力透光背板，背发光，配套隔板</t>
  </si>
  <si>
    <t>金属饰面板包柱</t>
  </si>
  <si>
    <t>1.镀锌角铁焊接圆形框架，不锈钢定制圆柱包柱</t>
  </si>
  <si>
    <t>墙面灯槽</t>
  </si>
  <si>
    <t>1.12mm阻燃板基层灯槽造型基层</t>
  </si>
  <si>
    <t>暗门</t>
  </si>
  <si>
    <t>1.800*2100mm 含五金                                2.30*30镀锌管骨架+12mm厚阻燃板基层+金属面板（暗门）
3.背面9.5mm石膏板+喷白色无机涂料</t>
  </si>
  <si>
    <t>樘</t>
  </si>
  <si>
    <t>消火栓暗门（暂估）</t>
  </si>
  <si>
    <t>1.700*1800mm                                 2.30*30镀锌管骨架+12mm厚阻燃板基层+4mm仿金属面铝塑板（暗门）
3.背面9.5mm石膏板+喷白色无机涂料</t>
  </si>
  <si>
    <t>小计</t>
  </si>
  <si>
    <t>六</t>
  </si>
  <si>
    <t>美工展陈</t>
  </si>
  <si>
    <t>墙面发光立体字/字母</t>
  </si>
  <si>
    <t>1.定制亚克力激光雕刻发光字，H775mm</t>
  </si>
  <si>
    <t>墙面发光立体字</t>
  </si>
  <si>
    <t>1.定制亚克力激光雕刻发光字，H110-150mm</t>
  </si>
  <si>
    <t>1.定制亚克力激光雕刻发光字，H180-200mm</t>
  </si>
  <si>
    <t>墙面立体字/字母</t>
  </si>
  <si>
    <t>1.定制亚克力激光雕刻，H30-50mm</t>
  </si>
  <si>
    <t>1.定制亚克力激光雕刻，H50-100mm</t>
  </si>
  <si>
    <t>1.定制亚克力激光雕刻，H100-200mm</t>
  </si>
  <si>
    <t>1.定制亚克力激光雕刻，H200-300mm</t>
  </si>
  <si>
    <t>墙面画面</t>
  </si>
  <si>
    <t>1.定制墙面画面</t>
  </si>
  <si>
    <t>㎡</t>
  </si>
  <si>
    <t>墙面即时贴文字</t>
  </si>
  <si>
    <t>1.定制即时贴文字，&lt;0.2㎡</t>
  </si>
  <si>
    <t>附墙长形展台</t>
  </si>
  <si>
    <t>1.定制烤漆展台，钢木结构骨架，烤漆饰面板，H650*W800mm</t>
  </si>
  <si>
    <t>项（m）</t>
  </si>
  <si>
    <t>附墙地台</t>
  </si>
  <si>
    <t>1.定制烤漆地台，钢木结构骨架，烤漆饰面板，H100*W1200mm</t>
  </si>
  <si>
    <t>精品展柜</t>
  </si>
  <si>
    <t>1.定制独脚支撑展柜，上置甲供零件，10mm钢化玻璃罩L605*W605*H820</t>
  </si>
  <si>
    <t>长形插板模型台</t>
  </si>
  <si>
    <t>1.定制烤漆模型展台，3400*1200mm，配套亚克力插板</t>
  </si>
  <si>
    <t>长形展台</t>
  </si>
  <si>
    <t>1.定制烤漆模型展台，L3000*W800*H800mm</t>
  </si>
  <si>
    <t>弧形展台</t>
  </si>
  <si>
    <t>1.定制烤漆模型弧形展台</t>
  </si>
  <si>
    <t>悬挑展台</t>
  </si>
  <si>
    <t>1.定制钢结构烤漆悬挑台</t>
  </si>
  <si>
    <t>悬挑精品展台</t>
  </si>
  <si>
    <t>1.定制墙面悬挑式精品展台，10mm钢化玻璃罩L1600*W830*H550mm</t>
  </si>
  <si>
    <t>沙盘台</t>
  </si>
  <si>
    <t>1.定制烤漆沙盘展台，7200*6400mm</t>
  </si>
  <si>
    <t>沙盘模型</t>
  </si>
  <si>
    <t>1.定制模型沙盘</t>
  </si>
  <si>
    <t>亚克力线条</t>
  </si>
  <si>
    <t>造型透明管</t>
  </si>
  <si>
    <t>1.亚克力/玻璃透明圆管，内置跑马灯</t>
  </si>
  <si>
    <t>深渊镜</t>
  </si>
  <si>
    <t>1.LED灯带、单透镜、镜面玻璃定制深渊镜，含配套结构</t>
  </si>
  <si>
    <t>墙面展板</t>
  </si>
  <si>
    <t>1.墙面雪弗板/亚克力UV展板</t>
  </si>
  <si>
    <t>奖牌复刻</t>
  </si>
  <si>
    <t>1.奖牌复刻</t>
  </si>
  <si>
    <t>磁吸展板</t>
  </si>
  <si>
    <t>1.墙面定制磁吸展板</t>
  </si>
  <si>
    <t>墙面灯箱</t>
  </si>
  <si>
    <t>1.定制墙面软膜/亚克力灯箱</t>
  </si>
  <si>
    <t>造型“树”形装置</t>
  </si>
  <si>
    <t>1.定制造型树装置</t>
  </si>
  <si>
    <t>墙面雕刻板</t>
  </si>
  <si>
    <t>1.墙面定制造型雕刻板</t>
  </si>
  <si>
    <t>墙面物理互动装置</t>
  </si>
  <si>
    <t>1.旋转装置，不同位置灯箱点亮</t>
  </si>
  <si>
    <t>造型门</t>
  </si>
  <si>
    <t>1.W2400mm，定制圆弧形造型仿太空舱门门套，模型开模浇筑，玻璃钢打磨喷漆，2樘</t>
  </si>
  <si>
    <t>地贴</t>
  </si>
  <si>
    <t>1.定制地贴</t>
  </si>
  <si>
    <t>七</t>
  </si>
  <si>
    <t>其他</t>
  </si>
  <si>
    <t>脚手架</t>
  </si>
  <si>
    <t>1.脚手架租赁</t>
  </si>
  <si>
    <t>建安工程费合计</t>
  </si>
  <si>
    <t>安全文明施工及临时设施费</t>
  </si>
  <si>
    <t>现场安全围挡、二次搬运等措施费用</t>
  </si>
  <si>
    <t>管理费</t>
  </si>
  <si>
    <t>未税合计</t>
  </si>
  <si>
    <t>税金</t>
  </si>
  <si>
    <t>工程费用总计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</si>
</sst>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);[Red]\(#,##0.00\)"/>
    <numFmt numFmtId="178" formatCode="0.00_);[Red]\(0.00\)"/>
  </numFmts>
  <fonts count="37">
    <font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6"/>
      <name val="宋体"/>
      <charset val="134"/>
    </font>
    <font>
      <b/>
      <sz val="16"/>
      <color rgb="FFFF0000"/>
      <name val="宋体"/>
      <charset val="134"/>
    </font>
    <font>
      <b/>
      <sz val="12"/>
      <color rgb="FF000000"/>
      <name val="宋体"/>
      <charset val="134"/>
    </font>
    <font>
      <b/>
      <sz val="12"/>
      <color rgb="FFFF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6"/>
      <color theme="1"/>
      <name val="宋体"/>
      <charset val="134"/>
    </font>
    <font>
      <b/>
      <sz val="10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theme="1"/>
      <name val="等线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 applyNumberFormat="0" applyFont="0" applyFill="0" applyBorder="0" applyProtection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5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7" borderId="14" applyNumberFormat="0" applyAlignment="0" applyProtection="0">
      <alignment vertical="center"/>
    </xf>
    <xf numFmtId="0" fontId="25" fillId="7" borderId="13" applyNumberFormat="0" applyAlignment="0" applyProtection="0">
      <alignment vertical="center"/>
    </xf>
    <xf numFmtId="0" fontId="26" fillId="8" borderId="15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4" fillId="0" borderId="0"/>
    <xf numFmtId="0" fontId="35" fillId="0" borderId="0">
      <alignment vertical="center"/>
    </xf>
    <xf numFmtId="0" fontId="36" fillId="0" borderId="0"/>
    <xf numFmtId="0" fontId="35" fillId="0" borderId="0">
      <protection locked="0"/>
    </xf>
  </cellStyleXfs>
  <cellXfs count="72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176" fontId="7" fillId="0" borderId="2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76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2" borderId="2" xfId="49" applyFont="1" applyFill="1" applyBorder="1" applyAlignment="1">
      <alignment horizontal="left" vertical="center" wrapText="1"/>
    </xf>
    <xf numFmtId="0" fontId="8" fillId="3" borderId="2" xfId="50" applyFont="1" applyFill="1" applyBorder="1" applyAlignment="1">
      <alignment horizontal="center" vertical="center" wrapText="1"/>
    </xf>
    <xf numFmtId="176" fontId="8" fillId="0" borderId="2" xfId="50" applyNumberFormat="1" applyFont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10" fontId="10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vertical="center" wrapText="1"/>
    </xf>
    <xf numFmtId="177" fontId="10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1" fillId="0" borderId="2" xfId="0" applyNumberFormat="1" applyFont="1" applyFill="1" applyBorder="1" applyAlignment="1" applyProtection="1">
      <alignment horizontal="center" vertical="center"/>
    </xf>
    <xf numFmtId="0" fontId="12" fillId="4" borderId="2" xfId="0" applyNumberFormat="1" applyFont="1" applyFill="1" applyBorder="1" applyAlignment="1" applyProtection="1">
      <alignment horizontal="center" vertical="center"/>
    </xf>
    <xf numFmtId="0" fontId="12" fillId="4" borderId="2" xfId="0" applyNumberFormat="1" applyFont="1" applyFill="1" applyBorder="1" applyAlignment="1" applyProtection="1">
      <alignment horizontal="center" vertical="center" wrapText="1"/>
    </xf>
    <xf numFmtId="0" fontId="12" fillId="4" borderId="2" xfId="0" applyNumberFormat="1" applyFont="1" applyFill="1" applyBorder="1" applyAlignment="1" applyProtection="1">
      <alignment horizontal="left" vertical="center"/>
    </xf>
    <xf numFmtId="178" fontId="1" fillId="0" borderId="0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3" fillId="0" borderId="2" xfId="0" applyNumberFormat="1" applyFont="1" applyFill="1" applyBorder="1" applyAlignment="1" applyProtection="1">
      <alignment horizontal="center" vertical="center"/>
    </xf>
    <xf numFmtId="0" fontId="13" fillId="0" borderId="2" xfId="0" applyNumberFormat="1" applyFont="1" applyFill="1" applyBorder="1" applyAlignment="1" applyProtection="1">
      <alignment horizontal="left" vertical="center" wrapText="1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6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101" xfId="50"/>
    <cellStyle name="常规 3" xfId="51"/>
    <cellStyle name="常规 5" xfId="52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topLeftCell="A20" workbookViewId="0">
      <selection activeCell="F28" sqref="F28"/>
    </sheetView>
  </sheetViews>
  <sheetFormatPr defaultColWidth="10.152380952381" defaultRowHeight="12" outlineLevelCol="7"/>
  <cols>
    <col min="1" max="1" width="10.152380952381" style="45"/>
    <col min="2" max="2" width="16.152380952381" style="45" customWidth="1"/>
    <col min="3" max="3" width="22" style="46" customWidth="1"/>
    <col min="4" max="4" width="41.4285714285714" style="47" customWidth="1"/>
    <col min="5" max="6" width="10.152380952381" style="46"/>
    <col min="7" max="7" width="19.4285714285714" style="46" customWidth="1"/>
    <col min="8" max="16384" width="10.152380952381" style="46"/>
  </cols>
  <sheetData>
    <row r="1" ht="42.95" customHeight="1" spans="1:7">
      <c r="A1" s="48" t="s">
        <v>0</v>
      </c>
      <c r="B1" s="48"/>
      <c r="C1" s="48"/>
      <c r="D1" s="48"/>
      <c r="E1" s="48"/>
      <c r="F1" s="48"/>
      <c r="G1" s="48"/>
    </row>
    <row r="2" s="43" customFormat="1" ht="30" customHeight="1" spans="1:8">
      <c r="A2" s="49" t="s">
        <v>1</v>
      </c>
      <c r="B2" s="49" t="s">
        <v>2</v>
      </c>
      <c r="C2" s="50" t="s">
        <v>3</v>
      </c>
      <c r="D2" s="51" t="s">
        <v>4</v>
      </c>
      <c r="E2" s="49" t="s">
        <v>5</v>
      </c>
      <c r="F2" s="49" t="s">
        <v>6</v>
      </c>
      <c r="G2" s="49" t="s">
        <v>7</v>
      </c>
      <c r="H2" s="52"/>
    </row>
    <row r="3" s="44" customFormat="1" ht="30" customHeight="1" spans="1:8">
      <c r="A3" s="53" t="s">
        <v>8</v>
      </c>
      <c r="B3" s="53"/>
      <c r="C3" s="54"/>
      <c r="D3" s="55"/>
      <c r="E3" s="53"/>
      <c r="F3" s="53"/>
      <c r="G3" s="53"/>
      <c r="H3" s="52"/>
    </row>
    <row r="4" ht="50.1" customHeight="1" spans="1:7">
      <c r="A4" s="56">
        <v>1</v>
      </c>
      <c r="B4" s="56" t="s">
        <v>9</v>
      </c>
      <c r="C4" s="57" t="s">
        <v>10</v>
      </c>
      <c r="D4" s="36" t="s">
        <v>11</v>
      </c>
      <c r="E4" s="26" t="s">
        <v>12</v>
      </c>
      <c r="F4" s="58">
        <v>1</v>
      </c>
      <c r="G4" s="59"/>
    </row>
    <row r="5" ht="50.1" customHeight="1" spans="1:7">
      <c r="A5" s="56">
        <v>2</v>
      </c>
      <c r="B5" s="56"/>
      <c r="C5" s="57" t="s">
        <v>13</v>
      </c>
      <c r="D5" s="36" t="s">
        <v>14</v>
      </c>
      <c r="E5" s="26" t="s">
        <v>15</v>
      </c>
      <c r="F5" s="58">
        <v>1</v>
      </c>
      <c r="G5" s="59"/>
    </row>
    <row r="6" ht="50.1" customHeight="1" spans="1:7">
      <c r="A6" s="56">
        <v>3</v>
      </c>
      <c r="B6" s="56"/>
      <c r="C6" s="60" t="s">
        <v>16</v>
      </c>
      <c r="D6" s="61" t="s">
        <v>17</v>
      </c>
      <c r="E6" s="26" t="s">
        <v>15</v>
      </c>
      <c r="F6" s="58">
        <v>1</v>
      </c>
      <c r="G6" s="59"/>
    </row>
    <row r="7" ht="50.1" customHeight="1" spans="1:7">
      <c r="A7" s="56">
        <v>4</v>
      </c>
      <c r="B7" s="62" t="s">
        <v>18</v>
      </c>
      <c r="C7" s="31" t="s">
        <v>19</v>
      </c>
      <c r="D7" s="36" t="s">
        <v>20</v>
      </c>
      <c r="E7" s="31" t="s">
        <v>15</v>
      </c>
      <c r="F7" s="58">
        <v>1</v>
      </c>
      <c r="G7" s="59"/>
    </row>
    <row r="8" ht="50.1" customHeight="1" spans="1:7">
      <c r="A8" s="56">
        <v>5</v>
      </c>
      <c r="B8" s="56" t="s">
        <v>21</v>
      </c>
      <c r="C8" s="31" t="s">
        <v>22</v>
      </c>
      <c r="D8" s="36" t="s">
        <v>23</v>
      </c>
      <c r="E8" s="63" t="s">
        <v>24</v>
      </c>
      <c r="F8" s="58">
        <v>30</v>
      </c>
      <c r="G8" s="59"/>
    </row>
    <row r="9" ht="50.1" customHeight="1" spans="1:7">
      <c r="A9" s="56">
        <v>6</v>
      </c>
      <c r="B9" s="56" t="s">
        <v>25</v>
      </c>
      <c r="C9" s="57" t="s">
        <v>26</v>
      </c>
      <c r="D9" s="61" t="s">
        <v>17</v>
      </c>
      <c r="E9" s="26" t="s">
        <v>15</v>
      </c>
      <c r="F9" s="58">
        <v>1</v>
      </c>
      <c r="G9" s="59"/>
    </row>
    <row r="10" ht="108" customHeight="1" spans="1:7">
      <c r="A10" s="56">
        <v>7</v>
      </c>
      <c r="B10" s="56" t="s">
        <v>27</v>
      </c>
      <c r="C10" s="60" t="s">
        <v>28</v>
      </c>
      <c r="D10" s="36" t="s">
        <v>29</v>
      </c>
      <c r="E10" s="26" t="s">
        <v>12</v>
      </c>
      <c r="F10" s="58">
        <v>1</v>
      </c>
      <c r="G10" s="59"/>
    </row>
    <row r="11" ht="50.1" customHeight="1" spans="1:7">
      <c r="A11" s="56">
        <v>8</v>
      </c>
      <c r="B11" s="56"/>
      <c r="C11" s="57" t="s">
        <v>30</v>
      </c>
      <c r="D11" s="36" t="s">
        <v>14</v>
      </c>
      <c r="E11" s="26" t="s">
        <v>15</v>
      </c>
      <c r="F11" s="58">
        <v>1</v>
      </c>
      <c r="G11" s="59"/>
    </row>
    <row r="12" ht="50.1" customHeight="1" spans="1:7">
      <c r="A12" s="56">
        <v>9</v>
      </c>
      <c r="B12" s="56"/>
      <c r="C12" s="58" t="s">
        <v>31</v>
      </c>
      <c r="D12" s="64" t="s">
        <v>32</v>
      </c>
      <c r="E12" s="58" t="s">
        <v>15</v>
      </c>
      <c r="F12" s="58">
        <v>1</v>
      </c>
      <c r="G12" s="59"/>
    </row>
    <row r="13" ht="50.1" customHeight="1" spans="1:7">
      <c r="A13" s="56">
        <v>10</v>
      </c>
      <c r="B13" s="56"/>
      <c r="C13" s="58" t="s">
        <v>33</v>
      </c>
      <c r="D13" s="64" t="s">
        <v>34</v>
      </c>
      <c r="E13" s="58" t="s">
        <v>15</v>
      </c>
      <c r="F13" s="58">
        <v>1</v>
      </c>
      <c r="G13" s="59"/>
    </row>
    <row r="14" ht="121" customHeight="1" spans="1:7">
      <c r="A14" s="56">
        <v>11</v>
      </c>
      <c r="B14" s="56" t="s">
        <v>35</v>
      </c>
      <c r="C14" s="65" t="s">
        <v>36</v>
      </c>
      <c r="D14" s="66" t="s">
        <v>37</v>
      </c>
      <c r="E14" s="58" t="s">
        <v>12</v>
      </c>
      <c r="F14" s="58">
        <v>1</v>
      </c>
      <c r="G14" s="59"/>
    </row>
    <row r="15" ht="50.1" customHeight="1" spans="1:7">
      <c r="A15" s="56">
        <v>12</v>
      </c>
      <c r="B15" s="56"/>
      <c r="C15" s="58" t="s">
        <v>31</v>
      </c>
      <c r="D15" s="64" t="s">
        <v>38</v>
      </c>
      <c r="E15" s="58" t="s">
        <v>15</v>
      </c>
      <c r="F15" s="58">
        <v>1</v>
      </c>
      <c r="G15" s="59"/>
    </row>
    <row r="16" ht="50.1" customHeight="1" spans="1:7">
      <c r="A16" s="56">
        <v>13</v>
      </c>
      <c r="B16" s="56"/>
      <c r="C16" s="58" t="s">
        <v>33</v>
      </c>
      <c r="D16" s="64" t="s">
        <v>39</v>
      </c>
      <c r="E16" s="58" t="s">
        <v>15</v>
      </c>
      <c r="F16" s="58">
        <v>1</v>
      </c>
      <c r="G16" s="59"/>
    </row>
    <row r="17" ht="50.1" customHeight="1" spans="1:7">
      <c r="A17" s="56">
        <v>14</v>
      </c>
      <c r="B17" s="56" t="s">
        <v>40</v>
      </c>
      <c r="C17" s="58" t="s">
        <v>41</v>
      </c>
      <c r="D17" s="64" t="s">
        <v>42</v>
      </c>
      <c r="E17" s="58" t="s">
        <v>15</v>
      </c>
      <c r="F17" s="58">
        <v>1</v>
      </c>
      <c r="G17" s="59"/>
    </row>
    <row r="18" ht="50.1" customHeight="1" spans="1:7">
      <c r="A18" s="56">
        <v>15</v>
      </c>
      <c r="B18" s="58" t="s">
        <v>43</v>
      </c>
      <c r="C18" s="58" t="s">
        <v>43</v>
      </c>
      <c r="D18" s="64" t="s">
        <v>44</v>
      </c>
      <c r="E18" s="58" t="s">
        <v>45</v>
      </c>
      <c r="F18" s="58">
        <v>1</v>
      </c>
      <c r="G18" s="59"/>
    </row>
    <row r="19" ht="54" customHeight="1" spans="1:7">
      <c r="A19" s="56">
        <v>16</v>
      </c>
      <c r="B19" s="67" t="s">
        <v>46</v>
      </c>
      <c r="C19" s="56" t="s">
        <v>47</v>
      </c>
      <c r="D19" s="64" t="s">
        <v>48</v>
      </c>
      <c r="E19" s="56" t="s">
        <v>45</v>
      </c>
      <c r="F19" s="56">
        <v>1</v>
      </c>
      <c r="G19" s="59"/>
    </row>
    <row r="20" ht="54" customHeight="1" spans="1:7">
      <c r="A20" s="56">
        <v>17</v>
      </c>
      <c r="B20" s="67"/>
      <c r="C20" s="56" t="s">
        <v>49</v>
      </c>
      <c r="D20" s="64" t="s">
        <v>50</v>
      </c>
      <c r="E20" s="56" t="s">
        <v>45</v>
      </c>
      <c r="F20" s="56">
        <v>1</v>
      </c>
      <c r="G20" s="59"/>
    </row>
    <row r="21" ht="54" customHeight="1" spans="1:7">
      <c r="A21" s="56">
        <v>18</v>
      </c>
      <c r="B21" s="68"/>
      <c r="C21" s="56" t="s">
        <v>51</v>
      </c>
      <c r="D21" s="64" t="s">
        <v>52</v>
      </c>
      <c r="E21" s="56" t="s">
        <v>45</v>
      </c>
      <c r="F21" s="56">
        <v>1</v>
      </c>
      <c r="G21" s="59"/>
    </row>
    <row r="22" ht="54" customHeight="1" spans="1:7">
      <c r="A22" s="56">
        <v>19</v>
      </c>
      <c r="B22" s="58" t="s">
        <v>27</v>
      </c>
      <c r="C22" s="58" t="s">
        <v>53</v>
      </c>
      <c r="D22" s="64" t="s">
        <v>54</v>
      </c>
      <c r="E22" s="58" t="s">
        <v>55</v>
      </c>
      <c r="F22" s="58">
        <v>7</v>
      </c>
      <c r="G22" s="59"/>
    </row>
    <row r="23" ht="54" customHeight="1" spans="1:7">
      <c r="A23" s="56">
        <v>20</v>
      </c>
      <c r="B23" s="58" t="s">
        <v>56</v>
      </c>
      <c r="C23" s="58" t="s">
        <v>57</v>
      </c>
      <c r="D23" s="64" t="s">
        <v>58</v>
      </c>
      <c r="E23" s="58" t="s">
        <v>55</v>
      </c>
      <c r="F23" s="58">
        <v>15</v>
      </c>
      <c r="G23" s="59"/>
    </row>
    <row r="24" ht="54" customHeight="1" spans="1:7">
      <c r="A24" s="56">
        <v>21</v>
      </c>
      <c r="B24" s="58" t="s">
        <v>35</v>
      </c>
      <c r="C24" s="58" t="s">
        <v>59</v>
      </c>
      <c r="D24" s="64" t="s">
        <v>60</v>
      </c>
      <c r="E24" s="58" t="s">
        <v>55</v>
      </c>
      <c r="F24" s="58">
        <v>1</v>
      </c>
      <c r="G24" s="59"/>
    </row>
    <row r="25" ht="54" customHeight="1" spans="1:7">
      <c r="A25" s="56">
        <v>22</v>
      </c>
      <c r="B25" s="58" t="s">
        <v>61</v>
      </c>
      <c r="C25" s="58" t="s">
        <v>62</v>
      </c>
      <c r="D25" s="64" t="s">
        <v>63</v>
      </c>
      <c r="E25" s="58" t="s">
        <v>64</v>
      </c>
      <c r="F25" s="58">
        <v>30</v>
      </c>
      <c r="G25" s="59"/>
    </row>
    <row r="26" ht="54" customHeight="1" spans="1:7">
      <c r="A26" s="56">
        <v>23</v>
      </c>
      <c r="B26" s="58" t="s">
        <v>65</v>
      </c>
      <c r="C26" s="69" t="s">
        <v>66</v>
      </c>
      <c r="D26" s="69" t="s">
        <v>67</v>
      </c>
      <c r="E26" s="70" t="s">
        <v>55</v>
      </c>
      <c r="F26" s="56">
        <v>1</v>
      </c>
      <c r="G26" s="59"/>
    </row>
    <row r="27" ht="81" customHeight="1" spans="1:7">
      <c r="A27" s="56">
        <v>24</v>
      </c>
      <c r="B27" s="58" t="s">
        <v>68</v>
      </c>
      <c r="C27" s="69" t="s">
        <v>69</v>
      </c>
      <c r="D27" s="69" t="s">
        <v>70</v>
      </c>
      <c r="E27" s="71" t="s">
        <v>55</v>
      </c>
      <c r="F27" s="56">
        <v>10</v>
      </c>
      <c r="G27" s="59"/>
    </row>
    <row r="28" ht="81" customHeight="1" spans="1:7">
      <c r="A28" s="56">
        <v>25</v>
      </c>
      <c r="B28" s="58"/>
      <c r="C28" s="69" t="s">
        <v>71</v>
      </c>
      <c r="D28" s="69" t="s">
        <v>72</v>
      </c>
      <c r="E28" s="71" t="s">
        <v>73</v>
      </c>
      <c r="F28" s="56">
        <v>10</v>
      </c>
      <c r="G28" s="59"/>
    </row>
  </sheetData>
  <mergeCells count="7">
    <mergeCell ref="A1:G1"/>
    <mergeCell ref="A3:B3"/>
    <mergeCell ref="B4:B6"/>
    <mergeCell ref="B10:B13"/>
    <mergeCell ref="B14:B16"/>
    <mergeCell ref="B19:B21"/>
    <mergeCell ref="B27:B28"/>
  </mergeCells>
  <conditionalFormatting sqref="C8:E8">
    <cfRule type="expression" dxfId="0" priority="1">
      <formula>$A8&lt;&gt;""</formula>
    </cfRule>
  </conditionalFormatting>
  <conditionalFormatting sqref="D14">
    <cfRule type="expression" dxfId="0" priority="4">
      <formula>$A14&lt;&gt;""</formula>
    </cfRule>
  </conditionalFormatting>
  <conditionalFormatting sqref="C17:D17">
    <cfRule type="expression" dxfId="0" priority="5">
      <formula>$A17&lt;&gt;""</formula>
    </cfRule>
  </conditionalFormatting>
  <conditionalFormatting sqref="C4:D7">
    <cfRule type="expression" dxfId="0" priority="3">
      <formula>$A4&lt;&gt;""</formula>
    </cfRule>
  </conditionalFormatting>
  <conditionalFormatting sqref="C9:D11">
    <cfRule type="expression" dxfId="0" priority="6">
      <formula>$A9&lt;&gt;""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V75"/>
  <sheetViews>
    <sheetView workbookViewId="0">
      <pane ySplit="3" topLeftCell="A48" activePane="bottomLeft" state="frozen"/>
      <selection/>
      <selection pane="bottomLeft" activeCell="F44" sqref="F44"/>
    </sheetView>
  </sheetViews>
  <sheetFormatPr defaultColWidth="14" defaultRowHeight="12"/>
  <cols>
    <col min="1" max="1" width="8.42857142857143" style="1" customWidth="1"/>
    <col min="2" max="2" width="15.847619047619" style="2" customWidth="1"/>
    <col min="3" max="3" width="29.152380952381" style="1" customWidth="1"/>
    <col min="4" max="4" width="8.28571428571429" style="1" customWidth="1"/>
    <col min="5" max="5" width="9.15238095238095" style="3" customWidth="1"/>
    <col min="6" max="6" width="13.7142857142857" style="4" customWidth="1"/>
    <col min="7" max="18" width="10" style="3" customWidth="1"/>
    <col min="19" max="22" width="14" style="3"/>
    <col min="23" max="16384" width="14" style="1"/>
  </cols>
  <sheetData>
    <row r="1" ht="30.95" customHeight="1" spans="1:6">
      <c r="A1" s="5" t="s">
        <v>74</v>
      </c>
      <c r="B1" s="6"/>
      <c r="C1" s="5"/>
      <c r="D1" s="5"/>
      <c r="E1" s="5"/>
      <c r="F1" s="7"/>
    </row>
    <row r="2" ht="34.5" customHeight="1" spans="1:5">
      <c r="A2" s="8" t="s">
        <v>75</v>
      </c>
      <c r="B2" s="8"/>
      <c r="C2" s="8"/>
      <c r="D2" s="8"/>
      <c r="E2" s="9"/>
    </row>
    <row r="3" ht="35.1" customHeight="1" spans="1:22">
      <c r="A3" s="10" t="s">
        <v>1</v>
      </c>
      <c r="B3" s="10" t="s">
        <v>76</v>
      </c>
      <c r="C3" s="10" t="s">
        <v>77</v>
      </c>
      <c r="D3" s="10" t="s">
        <v>5</v>
      </c>
      <c r="E3" s="10" t="s">
        <v>6</v>
      </c>
      <c r="F3" s="11" t="s">
        <v>78</v>
      </c>
      <c r="G3" s="4" t="s">
        <v>79</v>
      </c>
      <c r="H3" s="4" t="s">
        <v>80</v>
      </c>
      <c r="I3" s="4" t="s">
        <v>81</v>
      </c>
      <c r="J3" s="4" t="s">
        <v>82</v>
      </c>
      <c r="K3" s="4" t="s">
        <v>83</v>
      </c>
      <c r="L3" s="4" t="s">
        <v>84</v>
      </c>
      <c r="M3" s="4" t="s">
        <v>85</v>
      </c>
      <c r="N3" s="4" t="s">
        <v>86</v>
      </c>
      <c r="O3" s="4" t="s">
        <v>87</v>
      </c>
      <c r="P3" s="4" t="s">
        <v>88</v>
      </c>
      <c r="Q3" s="4" t="s">
        <v>89</v>
      </c>
      <c r="R3" s="4" t="s">
        <v>90</v>
      </c>
      <c r="S3" s="4" t="s">
        <v>91</v>
      </c>
      <c r="T3" s="4" t="s">
        <v>92</v>
      </c>
      <c r="U3" s="4" t="s">
        <v>93</v>
      </c>
      <c r="V3" s="4" t="s">
        <v>94</v>
      </c>
    </row>
    <row r="4" ht="35.1" customHeight="1" spans="1:6">
      <c r="A4" s="12" t="s">
        <v>95</v>
      </c>
      <c r="B4" s="13" t="s">
        <v>96</v>
      </c>
      <c r="C4" s="14"/>
      <c r="D4" s="14"/>
      <c r="E4" s="15"/>
      <c r="F4" s="16"/>
    </row>
    <row r="5" ht="54" customHeight="1" spans="1:22">
      <c r="A5" s="17">
        <v>1</v>
      </c>
      <c r="B5" s="18" t="s">
        <v>97</v>
      </c>
      <c r="C5" s="18" t="s">
        <v>98</v>
      </c>
      <c r="D5" s="12" t="s">
        <v>99</v>
      </c>
      <c r="E5" s="19">
        <f>(338+242.7)*3.9</f>
        <v>2264.73</v>
      </c>
      <c r="F5" s="16">
        <f t="shared" ref="F5:F10" si="0">SUM(G5:V5)</f>
        <v>2322.57</v>
      </c>
      <c r="G5" s="20">
        <f>(11.2+7.8+0.705*2)*4.2*2-7.2*3.5-6.5*2</f>
        <v>133.244</v>
      </c>
      <c r="H5" s="3">
        <f>(15.33-6.345+7.2+15.33+7.2)*4.2-13.46</f>
        <v>149.143</v>
      </c>
      <c r="I5" s="3">
        <f>(1.1+6+24)*4.2</f>
        <v>130.62</v>
      </c>
      <c r="J5" s="3">
        <f>(15.1-5.8+21.3-5.9)*4.2</f>
        <v>103.74</v>
      </c>
      <c r="K5" s="3">
        <f>(7.85+3.1+17.6)*4.2-7.17*3.3</f>
        <v>96.249</v>
      </c>
      <c r="L5" s="3">
        <f t="shared" ref="L5" si="1">(7.85+16.14+0.47*2+24)*4.2</f>
        <v>205.506</v>
      </c>
      <c r="M5" s="3">
        <f>(15.1+15.47)*4.2</f>
        <v>128.394</v>
      </c>
      <c r="N5" s="3">
        <f>(15.1+18.27)*4.2-7.2*3.3</f>
        <v>116.394</v>
      </c>
      <c r="O5" s="3">
        <f>(21.72+22.69-4.35)*4.2</f>
        <v>168.252</v>
      </c>
      <c r="P5" s="3">
        <f>(24.47+7+12.3)*4.2</f>
        <v>183.834</v>
      </c>
      <c r="Q5" s="3">
        <f>(7+12.3-4.2+23.7-4.2)*4.2</f>
        <v>145.32</v>
      </c>
      <c r="R5" s="3">
        <f>(3.2+18.46+11.78)*4.2</f>
        <v>140.448</v>
      </c>
      <c r="S5" s="3">
        <f>(22.86+18.7)*4.2</f>
        <v>174.552</v>
      </c>
      <c r="T5" s="3">
        <f>(22.45+19.14)*4.2</f>
        <v>174.678</v>
      </c>
      <c r="U5" s="3">
        <f>(19.27+13.7)*4.2-6.6</f>
        <v>131.874</v>
      </c>
      <c r="V5" s="3">
        <f>(15.37+18.04)*4.2</f>
        <v>140.322</v>
      </c>
    </row>
    <row r="6" ht="35.1" customHeight="1" spans="1:15">
      <c r="A6" s="17">
        <v>2</v>
      </c>
      <c r="B6" s="18" t="s">
        <v>100</v>
      </c>
      <c r="C6" s="18" t="s">
        <v>101</v>
      </c>
      <c r="D6" s="12" t="s">
        <v>99</v>
      </c>
      <c r="E6" s="19">
        <f>(338+242.7)*3.9*0.4</f>
        <v>905.892</v>
      </c>
      <c r="F6" s="16">
        <f t="shared" si="0"/>
        <v>153.433</v>
      </c>
      <c r="G6" s="3">
        <f>5.8*2</f>
        <v>11.6</v>
      </c>
      <c r="H6" s="3">
        <f>13.3+5.7+1.4*4.1+(15.33+7.2)*4.1-15-14.04-14.02</f>
        <v>74.053</v>
      </c>
      <c r="I6" s="3">
        <v>26.26</v>
      </c>
      <c r="J6" s="3">
        <f>10.3+9.4*4.1-21</f>
        <v>27.84</v>
      </c>
      <c r="O6" s="3">
        <v>13.68</v>
      </c>
    </row>
    <row r="7" ht="35.1" customHeight="1" spans="1:22">
      <c r="A7" s="17">
        <v>3</v>
      </c>
      <c r="B7" s="18" t="s">
        <v>102</v>
      </c>
      <c r="C7" s="18" t="s">
        <v>103</v>
      </c>
      <c r="D7" s="12" t="s">
        <v>99</v>
      </c>
      <c r="E7" s="19">
        <f>(338+242.7)*3.8</f>
        <v>2206.66</v>
      </c>
      <c r="F7" s="16">
        <f t="shared" si="0"/>
        <v>2008.6575</v>
      </c>
      <c r="G7" s="20">
        <f>(11.2+7.8+0.705*2)*4.1*2-7.2*3.5-6.5*2</f>
        <v>129.162</v>
      </c>
      <c r="H7" s="3">
        <f>(15.33-6.345+7.2+15.33+7.2)*4.1-13.46-15-14.04-14.02</f>
        <v>102.2115</v>
      </c>
      <c r="I7" s="3">
        <f>(1.1+6+24)*4.1</f>
        <v>127.51</v>
      </c>
      <c r="J7" s="3">
        <f>(15.1-5.8+21.3-5.9)*4.2</f>
        <v>103.74</v>
      </c>
      <c r="K7" s="3">
        <f>(7.85+3.1+17.6)*4.1-7.17*3.3</f>
        <v>93.394</v>
      </c>
      <c r="L7" s="3">
        <f>(7.85+16.14+0.47*2+24)*4.1-9.5-4.1-2.5-3.8-5.32</f>
        <v>175.393</v>
      </c>
      <c r="M7" s="3">
        <f>(7.4)*4.1</f>
        <v>30.34</v>
      </c>
      <c r="N7" s="3">
        <f>(15.1+18.27-7.7)*4.1-7.2*3.3</f>
        <v>81.487</v>
      </c>
      <c r="O7" s="3">
        <f>(21.72+22.69-4.35)*4.1</f>
        <v>164.246</v>
      </c>
      <c r="P7" s="3">
        <f>(24.47+7+12.3)*4.1-27.94</f>
        <v>151.517</v>
      </c>
      <c r="Q7" s="3">
        <f>(7+12.3-4.2+23.7-4.2)*4.1</f>
        <v>141.86</v>
      </c>
      <c r="R7" s="3">
        <f>(3.2+18.46+11.78)*4.1-10.13</f>
        <v>126.974</v>
      </c>
      <c r="S7" s="3">
        <f>(22.86+18.7)*4.1</f>
        <v>170.396</v>
      </c>
      <c r="T7" s="3">
        <f>(22.45+19.14)*4.1</f>
        <v>170.519</v>
      </c>
      <c r="U7" s="3">
        <f>(19.27+13.7)*4.1-6.6-9-4.7</f>
        <v>114.877</v>
      </c>
      <c r="V7" s="3">
        <f>(15.37+18.04)*4.1-11.95</f>
        <v>125.031</v>
      </c>
    </row>
    <row r="8" ht="35.1" customHeight="1" spans="1:22">
      <c r="A8" s="17"/>
      <c r="B8" s="18" t="s">
        <v>104</v>
      </c>
      <c r="C8" s="18" t="s">
        <v>105</v>
      </c>
      <c r="D8" s="12"/>
      <c r="E8" s="19"/>
      <c r="F8" s="16">
        <f t="shared" si="0"/>
        <v>1347.9296</v>
      </c>
      <c r="G8" s="20">
        <f>(11.2+7.8+0.705*2)*4.1*2-7.2*3.5-6.5*2-6.2-13.5*2</f>
        <v>95.962</v>
      </c>
      <c r="H8" s="3">
        <f>H7-H9</f>
        <v>28.6715</v>
      </c>
      <c r="I8" s="3">
        <f>I7-I9</f>
        <v>101.21</v>
      </c>
      <c r="J8" s="3">
        <f>J7-J9</f>
        <v>93.48</v>
      </c>
      <c r="K8" s="3">
        <f>K7-10.4-20.8+3.14*1.1*0.65</f>
        <v>64.4391</v>
      </c>
      <c r="L8" s="3">
        <f>L7-21.72</f>
        <v>153.673</v>
      </c>
      <c r="O8" s="3">
        <f>O7-45.46</f>
        <v>118.786</v>
      </c>
      <c r="P8" s="3">
        <f>(24.47+7+12.3)*4.1-27.94-28.7-29.82</f>
        <v>92.997</v>
      </c>
      <c r="Q8" s="3">
        <f>Q7-28.7</f>
        <v>113.16</v>
      </c>
      <c r="R8" s="3">
        <f>R7-R9</f>
        <v>51.288</v>
      </c>
      <c r="S8" s="3">
        <f>S7-S9-5.42-6.3*4.1</f>
        <v>87.076</v>
      </c>
      <c r="T8" s="3">
        <f>T7-T22-12.8-4.3</f>
        <v>153.419</v>
      </c>
      <c r="U8" s="3">
        <f>U7-U9</f>
        <v>91.777</v>
      </c>
      <c r="V8" s="3">
        <f>V7-V9-5.74</f>
        <v>101.991</v>
      </c>
    </row>
    <row r="9" ht="35.1" customHeight="1" spans="1:22">
      <c r="A9" s="17">
        <v>4</v>
      </c>
      <c r="B9" s="21" t="s">
        <v>106</v>
      </c>
      <c r="C9" s="21" t="s">
        <v>107</v>
      </c>
      <c r="D9" s="12" t="s">
        <v>99</v>
      </c>
      <c r="E9" s="19">
        <f>(338+242.7)*3.8*0.4</f>
        <v>882.664</v>
      </c>
      <c r="F9" s="16">
        <f t="shared" si="0"/>
        <v>387.066</v>
      </c>
      <c r="H9" s="3">
        <f>15+14.04+14.02+1.4*4.1+13.3+5.7+1.4*4.1</f>
        <v>73.54</v>
      </c>
      <c r="I9" s="3">
        <v>26.3</v>
      </c>
      <c r="J9" s="3">
        <v>10.26</v>
      </c>
      <c r="K9" s="3">
        <f>10.4-4.33+1.4*4.1</f>
        <v>11.81</v>
      </c>
      <c r="L9" s="3">
        <f>16.9-5.32+10.14</f>
        <v>21.72</v>
      </c>
      <c r="O9" s="3">
        <f>11.55+5.1+11.55+22.1-1.21*4</f>
        <v>45.46</v>
      </c>
      <c r="P9" s="3">
        <f>11.22+7.9+10.7</f>
        <v>29.82</v>
      </c>
      <c r="R9" s="3">
        <f>18.46*4.1</f>
        <v>75.686</v>
      </c>
      <c r="S9" s="3">
        <f>(6.1+5.2+1.4)*4.1</f>
        <v>52.07</v>
      </c>
      <c r="U9" s="3">
        <f>3.3*3.3+3.7*3.3</f>
        <v>23.1</v>
      </c>
      <c r="V9" s="3">
        <f>13.3+4</f>
        <v>17.3</v>
      </c>
    </row>
    <row r="10" ht="35.1" customHeight="1" spans="1:22">
      <c r="A10" s="17"/>
      <c r="B10" s="21" t="s">
        <v>108</v>
      </c>
      <c r="C10" s="18" t="s">
        <v>109</v>
      </c>
      <c r="D10" s="12"/>
      <c r="E10" s="19"/>
      <c r="F10" s="16">
        <f t="shared" si="0"/>
        <v>387.066</v>
      </c>
      <c r="H10" s="3">
        <f>15+14.04+14.02+1.4*4.1+13.3+5.7+1.4*4.1</f>
        <v>73.54</v>
      </c>
      <c r="I10" s="3">
        <v>26.3</v>
      </c>
      <c r="J10" s="3">
        <v>10.26</v>
      </c>
      <c r="K10" s="3">
        <f>10.4-4.33+1.4*4.1</f>
        <v>11.81</v>
      </c>
      <c r="L10" s="3">
        <f>16.9-5.32+10.14</f>
        <v>21.72</v>
      </c>
      <c r="O10" s="3">
        <f>11.55+5.1+11.55+22.1-1.21*4</f>
        <v>45.46</v>
      </c>
      <c r="P10" s="3">
        <f>11.22+7.9+10.7</f>
        <v>29.82</v>
      </c>
      <c r="R10" s="3">
        <f>18.46*4.1</f>
        <v>75.686</v>
      </c>
      <c r="S10" s="3">
        <f>(6.1+5.2+1.4)*4.1</f>
        <v>52.07</v>
      </c>
      <c r="U10" s="3">
        <f>3.3*3.3+3.7*3.3</f>
        <v>23.1</v>
      </c>
      <c r="V10" s="3">
        <f>13.3+4</f>
        <v>17.3</v>
      </c>
    </row>
    <row r="11" ht="35.1" customHeight="1" spans="1:17">
      <c r="A11" s="17"/>
      <c r="B11" s="21" t="s">
        <v>110</v>
      </c>
      <c r="C11" s="18" t="s">
        <v>111</v>
      </c>
      <c r="D11" s="12" t="s">
        <v>99</v>
      </c>
      <c r="E11" s="19"/>
      <c r="F11" s="16">
        <f t="shared" ref="F11:F26" si="2">SUM(G11:V11)</f>
        <v>57.4</v>
      </c>
      <c r="P11" s="3">
        <f>4.1*7</f>
        <v>28.7</v>
      </c>
      <c r="Q11" s="3">
        <f>4.1*7</f>
        <v>28.7</v>
      </c>
    </row>
    <row r="12" ht="35.1" customHeight="1" spans="1:17">
      <c r="A12" s="17"/>
      <c r="B12" s="18" t="s">
        <v>112</v>
      </c>
      <c r="C12" s="18" t="s">
        <v>113</v>
      </c>
      <c r="D12" s="12" t="s">
        <v>99</v>
      </c>
      <c r="E12" s="19"/>
      <c r="F12" s="16">
        <f t="shared" si="2"/>
        <v>57.4</v>
      </c>
      <c r="P12" s="3">
        <f>4.1*7</f>
        <v>28.7</v>
      </c>
      <c r="Q12" s="3">
        <f>4.1*7</f>
        <v>28.7</v>
      </c>
    </row>
    <row r="13" ht="35.1" customHeight="1" spans="1:22">
      <c r="A13" s="17">
        <v>6</v>
      </c>
      <c r="B13" s="18" t="s">
        <v>114</v>
      </c>
      <c r="C13" s="18" t="s">
        <v>115</v>
      </c>
      <c r="D13" s="12" t="s">
        <v>99</v>
      </c>
      <c r="E13" s="19">
        <f>17.2*3.75-20.89</f>
        <v>43.61</v>
      </c>
      <c r="F13" s="16">
        <f t="shared" si="2"/>
        <v>22.96</v>
      </c>
      <c r="H13" s="3">
        <f>1.4*4.1</f>
        <v>5.74</v>
      </c>
      <c r="K13" s="3">
        <f>1.4*4.1</f>
        <v>5.74</v>
      </c>
      <c r="S13" s="3">
        <f>1.4*4.1</f>
        <v>5.74</v>
      </c>
      <c r="V13" s="3">
        <f>1.4*4.1</f>
        <v>5.74</v>
      </c>
    </row>
    <row r="14" ht="35.1" customHeight="1" spans="1:19">
      <c r="A14" s="17"/>
      <c r="B14" s="18" t="s">
        <v>114</v>
      </c>
      <c r="C14" s="18" t="s">
        <v>116</v>
      </c>
      <c r="D14" s="12" t="s">
        <v>99</v>
      </c>
      <c r="E14" s="19">
        <v>0</v>
      </c>
      <c r="F14" s="16">
        <f t="shared" si="2"/>
        <v>28.085</v>
      </c>
      <c r="R14" s="3">
        <f>0.55*4.1</f>
        <v>2.255</v>
      </c>
      <c r="S14" s="3">
        <f>6.3*4.1</f>
        <v>25.83</v>
      </c>
    </row>
    <row r="15" ht="35.1" customHeight="1" spans="1:10">
      <c r="A15" s="17"/>
      <c r="B15" s="18" t="s">
        <v>117</v>
      </c>
      <c r="C15" s="18" t="s">
        <v>118</v>
      </c>
      <c r="D15" s="12" t="s">
        <v>119</v>
      </c>
      <c r="E15" s="19"/>
      <c r="F15" s="16">
        <f t="shared" si="2"/>
        <v>16.59</v>
      </c>
      <c r="J15" s="3">
        <f>2.765*6</f>
        <v>16.59</v>
      </c>
    </row>
    <row r="16" ht="35.1" customHeight="1" spans="1:22">
      <c r="A16" s="17">
        <v>7</v>
      </c>
      <c r="B16" s="18" t="s">
        <v>120</v>
      </c>
      <c r="C16" s="18" t="s">
        <v>121</v>
      </c>
      <c r="D16" s="12" t="s">
        <v>119</v>
      </c>
      <c r="E16" s="19">
        <v>91</v>
      </c>
      <c r="F16" s="16">
        <f t="shared" si="2"/>
        <v>343.82</v>
      </c>
      <c r="I16" s="3">
        <f>15.64+14.84+28.64+3.88</f>
        <v>63</v>
      </c>
      <c r="J16" s="3">
        <v>7</v>
      </c>
      <c r="L16" s="3">
        <f>10.88+6.9+13.8+14.1</f>
        <v>45.68</v>
      </c>
      <c r="M16" s="3">
        <f>11.5+7.7+15.47*2</f>
        <v>50.14</v>
      </c>
      <c r="N16" s="3">
        <v>15.47</v>
      </c>
      <c r="O16" s="3">
        <f>1.21*4</f>
        <v>4.84</v>
      </c>
      <c r="P16" s="3">
        <f>4.84*2+23.83</f>
        <v>33.51</v>
      </c>
      <c r="R16" s="3">
        <f>16.96+3.9</f>
        <v>20.86</v>
      </c>
      <c r="S16" s="3">
        <v>9.6</v>
      </c>
      <c r="T16" s="3">
        <f>14.32+7+7.4+6.6</f>
        <v>35.32</v>
      </c>
      <c r="U16" s="3">
        <f>12.8+9.1</f>
        <v>21.9</v>
      </c>
      <c r="V16" s="3">
        <f>14.4+4.6+17.5</f>
        <v>36.5</v>
      </c>
    </row>
    <row r="17" ht="35.1" customHeight="1" spans="1:10">
      <c r="A17" s="17">
        <v>8</v>
      </c>
      <c r="B17" s="18" t="s">
        <v>122</v>
      </c>
      <c r="C17" s="18" t="s">
        <v>123</v>
      </c>
      <c r="D17" s="12" t="s">
        <v>119</v>
      </c>
      <c r="E17" s="19">
        <v>35</v>
      </c>
      <c r="F17" s="16">
        <f t="shared" si="2"/>
        <v>61.07</v>
      </c>
      <c r="H17" s="3">
        <f>16.94+16.14+16.06</f>
        <v>49.14</v>
      </c>
      <c r="I17" s="3">
        <v>4.7</v>
      </c>
      <c r="J17" s="3">
        <v>7.23</v>
      </c>
    </row>
    <row r="18" ht="35.1" customHeight="1" spans="1:8">
      <c r="A18" s="17"/>
      <c r="B18" s="18" t="s">
        <v>124</v>
      </c>
      <c r="C18" s="22" t="s">
        <v>125</v>
      </c>
      <c r="D18" s="12" t="s">
        <v>119</v>
      </c>
      <c r="E18" s="19"/>
      <c r="F18" s="16">
        <f t="shared" si="2"/>
        <v>23.8</v>
      </c>
      <c r="H18" s="3">
        <f>14.1+9.7</f>
        <v>23.8</v>
      </c>
    </row>
    <row r="19" ht="35.1" customHeight="1" spans="1:19">
      <c r="A19" s="17"/>
      <c r="B19" s="18" t="s">
        <v>126</v>
      </c>
      <c r="C19" s="22" t="s">
        <v>127</v>
      </c>
      <c r="D19" s="12" t="s">
        <v>99</v>
      </c>
      <c r="E19" s="19"/>
      <c r="F19" s="16">
        <f t="shared" si="2"/>
        <v>27.91265</v>
      </c>
      <c r="J19" s="20">
        <f>3.14*1.15*1.15</f>
        <v>4.15265</v>
      </c>
      <c r="L19" s="3">
        <v>7.1</v>
      </c>
      <c r="P19" s="3">
        <v>1.8</v>
      </c>
      <c r="S19" s="3">
        <v>14.86</v>
      </c>
    </row>
    <row r="20" ht="35.1" customHeight="1" spans="1:11">
      <c r="A20" s="17">
        <v>9</v>
      </c>
      <c r="B20" s="23" t="s">
        <v>128</v>
      </c>
      <c r="C20" s="22" t="s">
        <v>129</v>
      </c>
      <c r="D20" s="12" t="s">
        <v>99</v>
      </c>
      <c r="E20" s="24">
        <f>(3.2+3*2)*0.62*2+(4.5+3*2)*0.24</f>
        <v>13.928</v>
      </c>
      <c r="F20" s="16">
        <f t="shared" si="2"/>
        <v>66.2508</v>
      </c>
      <c r="K20" s="3">
        <f>(7.17*3.3*2)*1.4</f>
        <v>66.2508</v>
      </c>
    </row>
    <row r="21" ht="35.1" customHeight="1" spans="1:14">
      <c r="A21" s="17"/>
      <c r="B21" s="23" t="s">
        <v>130</v>
      </c>
      <c r="C21" s="22"/>
      <c r="D21" s="12" t="s">
        <v>99</v>
      </c>
      <c r="E21" s="24"/>
      <c r="F21" s="16">
        <f t="shared" si="2"/>
        <v>111.827</v>
      </c>
      <c r="M21" s="3">
        <f>(7.4)*4.1</f>
        <v>30.34</v>
      </c>
      <c r="N21" s="3">
        <f>(15.1+18.27-7.7)*4.1-7.2*3.3</f>
        <v>81.487</v>
      </c>
    </row>
    <row r="22" ht="35.1" customHeight="1" spans="1:16">
      <c r="A22" s="17">
        <v>12</v>
      </c>
      <c r="B22" s="25" t="s">
        <v>131</v>
      </c>
      <c r="C22" s="25" t="s">
        <v>132</v>
      </c>
      <c r="D22" s="26" t="s">
        <v>99</v>
      </c>
      <c r="E22" s="27">
        <f>5.5*2.7+1.9*2.7+1.5*1.12+0.58*0.8*6+15</f>
        <v>39.444</v>
      </c>
      <c r="F22" s="16">
        <f t="shared" si="2"/>
        <v>34.888</v>
      </c>
      <c r="K22" s="3">
        <f>8*2.6</f>
        <v>20.8</v>
      </c>
      <c r="L22" s="3">
        <f>0.55*6+0.06*4+0.23+1.12*2</f>
        <v>6.01</v>
      </c>
      <c r="O22" s="3">
        <f>0.392*4+1.25+0.71+0.68+0.54+0.33</f>
        <v>5.078</v>
      </c>
      <c r="P22" s="3">
        <v>3</v>
      </c>
    </row>
    <row r="23" ht="35.1" customHeight="1" spans="1:11">
      <c r="A23" s="17">
        <v>13</v>
      </c>
      <c r="B23" s="22" t="s">
        <v>133</v>
      </c>
      <c r="C23" s="22" t="s">
        <v>134</v>
      </c>
      <c r="D23" s="26" t="s">
        <v>99</v>
      </c>
      <c r="E23" s="27">
        <f>2.66*3.8*2</f>
        <v>20.216</v>
      </c>
      <c r="F23" s="16">
        <f t="shared" si="2"/>
        <v>33.4724</v>
      </c>
      <c r="K23" s="20">
        <f>3.14*1.3*4.1*2</f>
        <v>33.4724</v>
      </c>
    </row>
    <row r="24" ht="35.1" customHeight="1" spans="1:22">
      <c r="A24" s="17">
        <v>14</v>
      </c>
      <c r="B24" s="18" t="s">
        <v>135</v>
      </c>
      <c r="C24" s="18" t="s">
        <v>136</v>
      </c>
      <c r="D24" s="12" t="s">
        <v>119</v>
      </c>
      <c r="E24" s="19">
        <f>3.9*8</f>
        <v>31.2</v>
      </c>
      <c r="F24" s="16">
        <f t="shared" si="2"/>
        <v>913.55</v>
      </c>
      <c r="G24" s="3">
        <f>9.2*2+1.2*11</f>
        <v>31.6</v>
      </c>
      <c r="H24" s="3">
        <v>10.76</v>
      </c>
      <c r="I24" s="3">
        <v>11.26</v>
      </c>
      <c r="J24" s="3">
        <f>13.3+14.75+22.04+6.8*2+6.1*2+6.85*2</f>
        <v>89.59</v>
      </c>
      <c r="K24" s="3">
        <f>15+21.22+2.7*4+0.15*6</f>
        <v>47.92</v>
      </c>
      <c r="L24" s="3">
        <f>19.32+10.1+3.7+9.7+7.5+6.8+13.3*2+14.22+17+16.02+9+12.8</f>
        <v>152.76</v>
      </c>
      <c r="M24" s="3">
        <f>3.5*9+1.4</f>
        <v>32.9</v>
      </c>
      <c r="N24" s="3">
        <f>28*3.5+0.8*4</f>
        <v>101.2</v>
      </c>
      <c r="O24" s="3">
        <f>17.68+10.38+17.68+30.38</f>
        <v>76.12</v>
      </c>
      <c r="P24" s="3">
        <f>17.28+13.28+16.68+1.94*3+23.7+4.1*2</f>
        <v>84.96</v>
      </c>
      <c r="Q24" s="3">
        <f>4.1*2+10.4</f>
        <v>18.6</v>
      </c>
      <c r="S24" s="3">
        <f>38.76+18.6+10.76</f>
        <v>68.12</v>
      </c>
      <c r="T24" s="3">
        <f>13.64+4.61*2+4.83*2+3.6*2+12.1+8.5+16</f>
        <v>76.32</v>
      </c>
      <c r="U24" s="3">
        <f>15.1+10.3+8.1+10.6</f>
        <v>44.1</v>
      </c>
      <c r="V24" s="3">
        <f>2.6*6+1.6*24+13.34</f>
        <v>67.34</v>
      </c>
    </row>
    <row r="25" ht="54" customHeight="1" spans="1:18">
      <c r="A25" s="17">
        <v>15</v>
      </c>
      <c r="B25" s="23" t="s">
        <v>137</v>
      </c>
      <c r="C25" s="22" t="s">
        <v>138</v>
      </c>
      <c r="D25" s="28" t="s">
        <v>139</v>
      </c>
      <c r="E25" s="24">
        <v>1</v>
      </c>
      <c r="F25" s="16">
        <f t="shared" si="2"/>
        <v>3</v>
      </c>
      <c r="G25" s="3">
        <v>1</v>
      </c>
      <c r="L25" s="3">
        <v>1</v>
      </c>
      <c r="R25" s="3">
        <v>1</v>
      </c>
    </row>
    <row r="26" ht="53.1" customHeight="1" spans="1:7">
      <c r="A26" s="17">
        <v>16</v>
      </c>
      <c r="B26" s="23" t="s">
        <v>140</v>
      </c>
      <c r="C26" s="22" t="s">
        <v>141</v>
      </c>
      <c r="D26" s="28" t="s">
        <v>139</v>
      </c>
      <c r="E26" s="24">
        <v>3</v>
      </c>
      <c r="F26" s="16">
        <f t="shared" si="2"/>
        <v>5</v>
      </c>
      <c r="G26" s="3">
        <v>5</v>
      </c>
    </row>
    <row r="27" ht="35.1" customHeight="1" spans="1:6">
      <c r="A27" s="29" t="s">
        <v>142</v>
      </c>
      <c r="B27" s="30"/>
      <c r="C27" s="29"/>
      <c r="D27" s="29"/>
      <c r="E27" s="29"/>
      <c r="F27" s="16"/>
    </row>
    <row r="28" ht="35.1" customHeight="1" spans="1:6">
      <c r="A28" s="12" t="s">
        <v>143</v>
      </c>
      <c r="B28" s="13" t="s">
        <v>144</v>
      </c>
      <c r="C28" s="14"/>
      <c r="D28" s="14"/>
      <c r="E28" s="15"/>
      <c r="F28" s="16"/>
    </row>
    <row r="29" ht="35.1" customHeight="1" spans="1:7">
      <c r="A29" s="31"/>
      <c r="B29" s="32" t="s">
        <v>145</v>
      </c>
      <c r="C29" s="33" t="s">
        <v>146</v>
      </c>
      <c r="D29" s="34" t="s">
        <v>55</v>
      </c>
      <c r="E29" s="35"/>
      <c r="F29" s="16">
        <f>SUM(G29:V29)</f>
        <v>8</v>
      </c>
      <c r="G29" s="3">
        <v>8</v>
      </c>
    </row>
    <row r="30" ht="35.1" customHeight="1" spans="1:22">
      <c r="A30" s="31"/>
      <c r="B30" s="32" t="s">
        <v>147</v>
      </c>
      <c r="C30" s="33" t="s">
        <v>148</v>
      </c>
      <c r="D30" s="34" t="s">
        <v>55</v>
      </c>
      <c r="E30" s="35"/>
      <c r="F30" s="16">
        <f>SUM(G30:V30)</f>
        <v>90</v>
      </c>
      <c r="H30" s="3">
        <v>5</v>
      </c>
      <c r="L30" s="3">
        <v>20</v>
      </c>
      <c r="O30" s="3">
        <v>5</v>
      </c>
      <c r="Q30" s="3">
        <v>4</v>
      </c>
      <c r="R30" s="3">
        <v>12</v>
      </c>
      <c r="S30" s="3">
        <v>4</v>
      </c>
      <c r="T30" s="3">
        <v>20</v>
      </c>
      <c r="U30" s="3">
        <v>12</v>
      </c>
      <c r="V30" s="3">
        <v>8</v>
      </c>
    </row>
    <row r="31" ht="35.1" customHeight="1" spans="1:20">
      <c r="A31" s="31"/>
      <c r="B31" s="32" t="s">
        <v>147</v>
      </c>
      <c r="C31" s="33" t="s">
        <v>149</v>
      </c>
      <c r="D31" s="34" t="s">
        <v>55</v>
      </c>
      <c r="E31" s="35"/>
      <c r="F31" s="16">
        <f>SUM(G31:V31)</f>
        <v>44</v>
      </c>
      <c r="H31" s="3">
        <v>8</v>
      </c>
      <c r="I31" s="3">
        <v>8</v>
      </c>
      <c r="J31" s="3">
        <v>4</v>
      </c>
      <c r="K31" s="3">
        <v>16</v>
      </c>
      <c r="L31" s="3">
        <v>4</v>
      </c>
      <c r="T31" s="3">
        <v>4</v>
      </c>
    </row>
    <row r="32" ht="35.1" customHeight="1" spans="1:22">
      <c r="A32" s="31"/>
      <c r="B32" s="32" t="s">
        <v>150</v>
      </c>
      <c r="C32" s="33" t="s">
        <v>151</v>
      </c>
      <c r="D32" s="34" t="s">
        <v>55</v>
      </c>
      <c r="E32" s="35"/>
      <c r="F32" s="16">
        <f>SUM(G32:V32)</f>
        <v>913</v>
      </c>
      <c r="H32" s="3">
        <v>32</v>
      </c>
      <c r="K32" s="3">
        <v>32</v>
      </c>
      <c r="L32" s="3">
        <f>55+11+112</f>
        <v>178</v>
      </c>
      <c r="O32" s="3">
        <f>59+40</f>
        <v>99</v>
      </c>
      <c r="P32" s="3">
        <f>116+38</f>
        <v>154</v>
      </c>
      <c r="Q32" s="3">
        <f>25+40</f>
        <v>65</v>
      </c>
      <c r="S32" s="3">
        <v>32</v>
      </c>
      <c r="T32" s="3">
        <v>20</v>
      </c>
      <c r="U32" s="3">
        <f>73+170</f>
        <v>243</v>
      </c>
      <c r="V32" s="3">
        <f>32+26</f>
        <v>58</v>
      </c>
    </row>
    <row r="33" ht="35.1" customHeight="1" spans="1:22">
      <c r="A33" s="31"/>
      <c r="B33" s="32" t="s">
        <v>150</v>
      </c>
      <c r="C33" s="33" t="s">
        <v>152</v>
      </c>
      <c r="D33" s="34" t="s">
        <v>55</v>
      </c>
      <c r="E33" s="35"/>
      <c r="F33" s="16">
        <f t="shared" ref="F33:F37" si="3">SUM(G33:V33)</f>
        <v>1679</v>
      </c>
      <c r="H33" s="3">
        <f>22+17*2+60+16</f>
        <v>132</v>
      </c>
      <c r="I33" s="3">
        <f>68+27+18*4+19*8</f>
        <v>319</v>
      </c>
      <c r="J33" s="3">
        <v>25</v>
      </c>
      <c r="K33" s="3">
        <v>106</v>
      </c>
      <c r="L33" s="3">
        <f>107+156</f>
        <v>263</v>
      </c>
      <c r="O33" s="3">
        <f>18+6</f>
        <v>24</v>
      </c>
      <c r="P33" s="3">
        <v>15</v>
      </c>
      <c r="Q33" s="3">
        <v>14</v>
      </c>
      <c r="R33" s="3">
        <v>74</v>
      </c>
      <c r="S33" s="3">
        <v>113</v>
      </c>
      <c r="T33" s="3">
        <f>95+86+19+43+27+80</f>
        <v>350</v>
      </c>
      <c r="U33" s="3">
        <f>27+71+75</f>
        <v>173</v>
      </c>
      <c r="V33" s="3">
        <f>32+24+15</f>
        <v>71</v>
      </c>
    </row>
    <row r="34" ht="35.1" customHeight="1" spans="1:22">
      <c r="A34" s="31"/>
      <c r="B34" s="32" t="s">
        <v>150</v>
      </c>
      <c r="C34" s="33" t="s">
        <v>153</v>
      </c>
      <c r="D34" s="34" t="s">
        <v>55</v>
      </c>
      <c r="E34" s="35"/>
      <c r="F34" s="16">
        <f t="shared" si="3"/>
        <v>236</v>
      </c>
      <c r="H34" s="3">
        <v>20</v>
      </c>
      <c r="I34" s="3">
        <f>16</f>
        <v>16</v>
      </c>
      <c r="J34" s="3">
        <v>4</v>
      </c>
      <c r="L34" s="3">
        <f>26+12</f>
        <v>38</v>
      </c>
      <c r="O34" s="3">
        <v>13</v>
      </c>
      <c r="P34" s="3">
        <v>25</v>
      </c>
      <c r="Q34" s="3">
        <v>6</v>
      </c>
      <c r="R34" s="3">
        <v>62</v>
      </c>
      <c r="S34" s="3">
        <v>8</v>
      </c>
      <c r="T34" s="3">
        <v>24</v>
      </c>
      <c r="U34" s="3">
        <v>16</v>
      </c>
      <c r="V34" s="3">
        <v>4</v>
      </c>
    </row>
    <row r="35" ht="35.1" customHeight="1" spans="1:22">
      <c r="A35" s="31"/>
      <c r="B35" s="32" t="s">
        <v>150</v>
      </c>
      <c r="C35" s="33" t="s">
        <v>154</v>
      </c>
      <c r="D35" s="34" t="s">
        <v>55</v>
      </c>
      <c r="E35" s="35"/>
      <c r="F35" s="16">
        <f t="shared" si="3"/>
        <v>36</v>
      </c>
      <c r="H35" s="3">
        <v>4</v>
      </c>
      <c r="K35" s="3">
        <v>4</v>
      </c>
      <c r="S35" s="3">
        <f>20+4</f>
        <v>24</v>
      </c>
      <c r="V35" s="3">
        <v>4</v>
      </c>
    </row>
    <row r="36" ht="35.1" customHeight="1" spans="1:22">
      <c r="A36" s="31">
        <v>3</v>
      </c>
      <c r="B36" s="32" t="s">
        <v>155</v>
      </c>
      <c r="C36" s="33" t="s">
        <v>156</v>
      </c>
      <c r="D36" s="28" t="s">
        <v>157</v>
      </c>
      <c r="E36" s="27">
        <f>(6.4+7.1+3.8+7.2)*1.92+7*2.1+5.7*2.2+9.6*2+7.4*3.8+15.4*2</f>
        <v>152.4</v>
      </c>
      <c r="F36" s="16">
        <f t="shared" si="3"/>
        <v>387.066</v>
      </c>
      <c r="H36" s="3">
        <f>15+14.04+14.02+1.4*4.1+13.3+5.7+1.4*4.1</f>
        <v>73.54</v>
      </c>
      <c r="I36" s="3">
        <v>26.3</v>
      </c>
      <c r="J36" s="3">
        <v>10.26</v>
      </c>
      <c r="K36" s="3">
        <f>10.4-4.33+1.4*4.1</f>
        <v>11.81</v>
      </c>
      <c r="L36" s="3">
        <f>16.9-5.32+10.14</f>
        <v>21.72</v>
      </c>
      <c r="O36" s="3">
        <f>11.55+5.1+11.55+22.1-1.21*4</f>
        <v>45.46</v>
      </c>
      <c r="P36" s="3">
        <f>11.22+7.9+10.7</f>
        <v>29.82</v>
      </c>
      <c r="R36" s="3">
        <f>18.46*4.1</f>
        <v>75.686</v>
      </c>
      <c r="S36" s="3">
        <f>(6.1+5.2+1.4)*4.1</f>
        <v>52.07</v>
      </c>
      <c r="U36" s="3">
        <f>3.3*3.3+3.7*3.3</f>
        <v>23.1</v>
      </c>
      <c r="V36" s="3">
        <f>13.3+4</f>
        <v>17.3</v>
      </c>
    </row>
    <row r="37" ht="35.1" customHeight="1" spans="1:20">
      <c r="A37" s="31"/>
      <c r="B37" s="32" t="s">
        <v>158</v>
      </c>
      <c r="C37" s="33" t="s">
        <v>159</v>
      </c>
      <c r="D37" s="28" t="s">
        <v>15</v>
      </c>
      <c r="E37" s="27"/>
      <c r="F37" s="16">
        <f t="shared" si="3"/>
        <v>33</v>
      </c>
      <c r="I37" s="3">
        <v>10</v>
      </c>
      <c r="Q37" s="3">
        <v>6</v>
      </c>
      <c r="T37" s="3">
        <v>17</v>
      </c>
    </row>
    <row r="38" ht="35.1" customHeight="1" spans="1:15">
      <c r="A38" s="31">
        <v>4</v>
      </c>
      <c r="B38" s="32" t="s">
        <v>160</v>
      </c>
      <c r="C38" s="33" t="s">
        <v>161</v>
      </c>
      <c r="D38" s="34" t="s">
        <v>162</v>
      </c>
      <c r="E38" s="35">
        <v>1</v>
      </c>
      <c r="F38" s="16">
        <f t="shared" ref="F38:F42" si="4">SUM(G38:V38)</f>
        <v>19.5</v>
      </c>
      <c r="O38" s="3">
        <f>3.5*3+9</f>
        <v>19.5</v>
      </c>
    </row>
    <row r="39" ht="35.1" customHeight="1" spans="1:19">
      <c r="A39" s="31"/>
      <c r="B39" s="32" t="s">
        <v>163</v>
      </c>
      <c r="C39" s="33" t="s">
        <v>164</v>
      </c>
      <c r="D39" s="28" t="s">
        <v>157</v>
      </c>
      <c r="E39" s="35"/>
      <c r="F39" s="16">
        <f t="shared" si="4"/>
        <v>57.384</v>
      </c>
      <c r="O39" s="3">
        <f>(22.69+8.37)*1.2</f>
        <v>37.272</v>
      </c>
      <c r="S39" s="3">
        <f>(16.76)*1.2</f>
        <v>20.112</v>
      </c>
    </row>
    <row r="40" ht="35.1" customHeight="1" spans="1:19">
      <c r="A40" s="31"/>
      <c r="B40" s="32" t="s">
        <v>165</v>
      </c>
      <c r="C40" s="33" t="s">
        <v>166</v>
      </c>
      <c r="D40" s="28" t="s">
        <v>55</v>
      </c>
      <c r="E40" s="35"/>
      <c r="F40" s="16">
        <f t="shared" si="4"/>
        <v>6</v>
      </c>
      <c r="S40" s="3">
        <v>6</v>
      </c>
    </row>
    <row r="41" ht="35.1" customHeight="1" spans="1:6">
      <c r="A41" s="31">
        <v>5</v>
      </c>
      <c r="B41" s="32" t="s">
        <v>167</v>
      </c>
      <c r="C41" s="33" t="s">
        <v>168</v>
      </c>
      <c r="D41" s="34" t="s">
        <v>55</v>
      </c>
      <c r="E41" s="35">
        <v>1</v>
      </c>
      <c r="F41" s="16">
        <f t="shared" si="4"/>
        <v>0</v>
      </c>
    </row>
    <row r="42" ht="35.1" customHeight="1" spans="1:20">
      <c r="A42" s="31"/>
      <c r="B42" s="32" t="s">
        <v>169</v>
      </c>
      <c r="C42" s="33" t="s">
        <v>170</v>
      </c>
      <c r="D42" s="34" t="s">
        <v>55</v>
      </c>
      <c r="E42" s="35">
        <v>1</v>
      </c>
      <c r="F42" s="16">
        <f t="shared" si="4"/>
        <v>1</v>
      </c>
      <c r="T42" s="3">
        <v>1</v>
      </c>
    </row>
    <row r="43" ht="35.1" customHeight="1" spans="1:6">
      <c r="A43" s="31">
        <v>6</v>
      </c>
      <c r="B43" s="32" t="s">
        <v>171</v>
      </c>
      <c r="C43" s="33" t="s">
        <v>172</v>
      </c>
      <c r="D43" s="34" t="s">
        <v>55</v>
      </c>
      <c r="E43" s="35">
        <v>4</v>
      </c>
      <c r="F43" s="16">
        <f t="shared" ref="F43:F47" si="5">SUM(G43:V43)</f>
        <v>0</v>
      </c>
    </row>
    <row r="44" ht="35.1" customHeight="1" spans="1:12">
      <c r="A44" s="31">
        <v>7</v>
      </c>
      <c r="B44" s="32" t="s">
        <v>173</v>
      </c>
      <c r="C44" s="33" t="s">
        <v>174</v>
      </c>
      <c r="D44" s="34" t="s">
        <v>162</v>
      </c>
      <c r="E44" s="35">
        <v>1</v>
      </c>
      <c r="F44" s="16">
        <f t="shared" si="5"/>
        <v>5.6</v>
      </c>
      <c r="L44" s="3">
        <f>2.8*2</f>
        <v>5.6</v>
      </c>
    </row>
    <row r="45" ht="35.1" customHeight="1" spans="1:22">
      <c r="A45" s="31"/>
      <c r="B45" s="32" t="s">
        <v>175</v>
      </c>
      <c r="C45" s="33" t="s">
        <v>176</v>
      </c>
      <c r="D45" s="34" t="s">
        <v>55</v>
      </c>
      <c r="E45" s="35">
        <v>1</v>
      </c>
      <c r="F45" s="16">
        <f t="shared" si="5"/>
        <v>3</v>
      </c>
      <c r="U45" s="3">
        <v>1</v>
      </c>
      <c r="V45" s="3">
        <v>2</v>
      </c>
    </row>
    <row r="46" ht="35.1" customHeight="1" spans="1:6">
      <c r="A46" s="31">
        <v>8</v>
      </c>
      <c r="B46" s="32" t="s">
        <v>177</v>
      </c>
      <c r="C46" s="33" t="s">
        <v>178</v>
      </c>
      <c r="D46" s="34" t="s">
        <v>55</v>
      </c>
      <c r="E46" s="35">
        <v>1</v>
      </c>
      <c r="F46" s="16">
        <f t="shared" si="5"/>
        <v>0</v>
      </c>
    </row>
    <row r="47" ht="35.1" customHeight="1" spans="1:6">
      <c r="A47" s="31">
        <v>9</v>
      </c>
      <c r="B47" s="32" t="s">
        <v>179</v>
      </c>
      <c r="C47" s="33" t="s">
        <v>180</v>
      </c>
      <c r="D47" s="28" t="s">
        <v>157</v>
      </c>
      <c r="E47" s="27">
        <f>2.7*2.4+2.7*3.6+3.3*3.5</f>
        <v>27.75</v>
      </c>
      <c r="F47" s="16">
        <f t="shared" si="5"/>
        <v>0</v>
      </c>
    </row>
    <row r="48" ht="35.1" customHeight="1" spans="1:16">
      <c r="A48" s="31"/>
      <c r="B48" s="32" t="s">
        <v>181</v>
      </c>
      <c r="C48" s="33"/>
      <c r="D48" s="28" t="s">
        <v>119</v>
      </c>
      <c r="E48" s="27"/>
      <c r="F48" s="16">
        <f t="shared" ref="F48:F57" si="6">SUM(G48:V48)</f>
        <v>94.99</v>
      </c>
      <c r="O48" s="3">
        <f>9+9.8+14.4+15.25+2.42</f>
        <v>50.87</v>
      </c>
      <c r="P48" s="3">
        <f>16.45+15.28+3.59+8.8</f>
        <v>44.12</v>
      </c>
    </row>
    <row r="49" ht="35.1" customHeight="1" spans="1:18">
      <c r="A49" s="31"/>
      <c r="B49" s="32" t="s">
        <v>182</v>
      </c>
      <c r="C49" s="33" t="s">
        <v>183</v>
      </c>
      <c r="D49" s="28" t="s">
        <v>119</v>
      </c>
      <c r="E49" s="27"/>
      <c r="F49" s="16">
        <f t="shared" si="6"/>
        <v>69.82</v>
      </c>
      <c r="P49" s="3">
        <f>2.4+1.5*2+2.76*2</f>
        <v>10.92</v>
      </c>
      <c r="R49" s="3">
        <f>12.3*2+16+15+3.3</f>
        <v>58.9</v>
      </c>
    </row>
    <row r="50" ht="35.1" customHeight="1" spans="1:22">
      <c r="A50" s="31"/>
      <c r="B50" s="32" t="s">
        <v>184</v>
      </c>
      <c r="C50" s="33" t="s">
        <v>185</v>
      </c>
      <c r="D50" s="28" t="s">
        <v>157</v>
      </c>
      <c r="E50" s="27"/>
      <c r="F50" s="16">
        <f t="shared" si="6"/>
        <v>18.45</v>
      </c>
      <c r="R50" s="3">
        <f>3.2*4.1</f>
        <v>13.12</v>
      </c>
      <c r="V50" s="3">
        <v>5.33</v>
      </c>
    </row>
    <row r="51" ht="35.1" customHeight="1" spans="1:22">
      <c r="A51" s="31">
        <v>10</v>
      </c>
      <c r="B51" s="32" t="s">
        <v>186</v>
      </c>
      <c r="C51" s="33" t="s">
        <v>187</v>
      </c>
      <c r="D51" s="34" t="s">
        <v>45</v>
      </c>
      <c r="E51" s="35">
        <v>1</v>
      </c>
      <c r="F51" s="16">
        <f t="shared" si="6"/>
        <v>151</v>
      </c>
      <c r="H51" s="3">
        <f>4+6</f>
        <v>10</v>
      </c>
      <c r="I51" s="3">
        <v>20</v>
      </c>
      <c r="L51" s="3">
        <f>9+18</f>
        <v>27</v>
      </c>
      <c r="O51" s="3">
        <v>6</v>
      </c>
      <c r="P51" s="3">
        <f>2+7</f>
        <v>9</v>
      </c>
      <c r="Q51" s="3">
        <f>10+7</f>
        <v>17</v>
      </c>
      <c r="S51" s="3">
        <f>9+17</f>
        <v>26</v>
      </c>
      <c r="T51" s="3">
        <v>13</v>
      </c>
      <c r="U51" s="3">
        <f>6+13</f>
        <v>19</v>
      </c>
      <c r="V51" s="3">
        <v>4</v>
      </c>
    </row>
    <row r="52" ht="35.1" customHeight="1" spans="1:6">
      <c r="A52" s="31">
        <v>11</v>
      </c>
      <c r="B52" s="32" t="s">
        <v>188</v>
      </c>
      <c r="C52" s="33" t="s">
        <v>189</v>
      </c>
      <c r="D52" s="34" t="s">
        <v>45</v>
      </c>
      <c r="E52" s="35">
        <v>1</v>
      </c>
      <c r="F52" s="16">
        <f t="shared" si="6"/>
        <v>0</v>
      </c>
    </row>
    <row r="53" ht="35.1" customHeight="1" spans="1:6">
      <c r="A53" s="31">
        <v>12</v>
      </c>
      <c r="B53" s="32" t="s">
        <v>190</v>
      </c>
      <c r="C53" s="33" t="s">
        <v>191</v>
      </c>
      <c r="D53" s="34" t="s">
        <v>45</v>
      </c>
      <c r="E53" s="35">
        <v>1</v>
      </c>
      <c r="F53" s="16">
        <f t="shared" si="6"/>
        <v>0</v>
      </c>
    </row>
    <row r="54" ht="35.1" customHeight="1" spans="1:22">
      <c r="A54" s="31">
        <v>13</v>
      </c>
      <c r="B54" s="32" t="s">
        <v>192</v>
      </c>
      <c r="C54" s="33" t="s">
        <v>193</v>
      </c>
      <c r="D54" s="34" t="s">
        <v>45</v>
      </c>
      <c r="E54" s="35">
        <v>1</v>
      </c>
      <c r="F54" s="16">
        <f t="shared" si="6"/>
        <v>52.631</v>
      </c>
      <c r="I54" s="3">
        <f>13.2+11.3*0.07</f>
        <v>13.991</v>
      </c>
      <c r="J54" s="3">
        <v>2.3</v>
      </c>
      <c r="T54" s="3">
        <f>4.9*3.5*2+0.8</f>
        <v>35.1</v>
      </c>
      <c r="V54" s="3">
        <v>1.24</v>
      </c>
    </row>
    <row r="55" ht="35.1" customHeight="1" spans="1:6">
      <c r="A55" s="31">
        <v>14</v>
      </c>
      <c r="B55" s="32" t="s">
        <v>194</v>
      </c>
      <c r="C55" s="33" t="s">
        <v>195</v>
      </c>
      <c r="D55" s="34" t="s">
        <v>45</v>
      </c>
      <c r="E55" s="35">
        <v>1</v>
      </c>
      <c r="F55" s="16">
        <f t="shared" si="6"/>
        <v>0</v>
      </c>
    </row>
    <row r="56" ht="35.1" customHeight="1" spans="1:19">
      <c r="A56" s="31">
        <v>15</v>
      </c>
      <c r="B56" s="32" t="s">
        <v>196</v>
      </c>
      <c r="C56" s="33" t="s">
        <v>197</v>
      </c>
      <c r="D56" s="34" t="s">
        <v>45</v>
      </c>
      <c r="E56" s="35">
        <v>1</v>
      </c>
      <c r="F56" s="16">
        <f t="shared" si="6"/>
        <v>16.55</v>
      </c>
      <c r="H56" s="3">
        <v>2.45</v>
      </c>
      <c r="S56" s="3">
        <v>14.1</v>
      </c>
    </row>
    <row r="57" ht="35.1" customHeight="1" spans="1:10">
      <c r="A57" s="31">
        <v>16</v>
      </c>
      <c r="B57" s="36" t="s">
        <v>198</v>
      </c>
      <c r="C57" s="33" t="s">
        <v>199</v>
      </c>
      <c r="D57" s="34" t="s">
        <v>45</v>
      </c>
      <c r="E57" s="35">
        <v>1</v>
      </c>
      <c r="F57" s="16">
        <f t="shared" si="6"/>
        <v>1</v>
      </c>
      <c r="J57" s="3">
        <v>1</v>
      </c>
    </row>
    <row r="58" ht="45.95" customHeight="1" spans="1:6">
      <c r="A58" s="31">
        <v>17</v>
      </c>
      <c r="B58" s="36" t="s">
        <v>200</v>
      </c>
      <c r="C58" s="33" t="s">
        <v>201</v>
      </c>
      <c r="D58" s="34" t="s">
        <v>45</v>
      </c>
      <c r="E58" s="35">
        <v>1</v>
      </c>
      <c r="F58" s="16">
        <v>1</v>
      </c>
    </row>
    <row r="59" ht="35.1" customHeight="1" spans="1:6">
      <c r="A59" s="31">
        <v>19</v>
      </c>
      <c r="B59" s="36" t="s">
        <v>202</v>
      </c>
      <c r="C59" s="33" t="s">
        <v>203</v>
      </c>
      <c r="D59" s="34" t="s">
        <v>45</v>
      </c>
      <c r="E59" s="35">
        <v>1</v>
      </c>
      <c r="F59" s="16">
        <v>1</v>
      </c>
    </row>
    <row r="60" ht="35.1" customHeight="1" spans="1:6">
      <c r="A60" s="29" t="s">
        <v>142</v>
      </c>
      <c r="B60" s="30"/>
      <c r="C60" s="29"/>
      <c r="D60" s="29"/>
      <c r="E60" s="29"/>
      <c r="F60" s="16"/>
    </row>
    <row r="61" ht="35.1" customHeight="1" spans="1:6">
      <c r="A61" s="12" t="s">
        <v>204</v>
      </c>
      <c r="B61" s="13" t="s">
        <v>205</v>
      </c>
      <c r="C61" s="14"/>
      <c r="D61" s="14"/>
      <c r="E61" s="15"/>
      <c r="F61" s="16"/>
    </row>
    <row r="62" ht="36" customHeight="1" spans="1:6">
      <c r="A62" s="17">
        <v>1</v>
      </c>
      <c r="B62" s="18" t="s">
        <v>206</v>
      </c>
      <c r="C62" s="18" t="s">
        <v>207</v>
      </c>
      <c r="D62" s="12" t="s">
        <v>99</v>
      </c>
      <c r="E62" s="19">
        <f>2135.7-73.3-156.2-45.7</f>
        <v>1860.5</v>
      </c>
      <c r="F62" s="16"/>
    </row>
    <row r="63" ht="35.1" customHeight="1" spans="1:6">
      <c r="A63" s="29" t="s">
        <v>142</v>
      </c>
      <c r="B63" s="30"/>
      <c r="C63" s="29"/>
      <c r="D63" s="29"/>
      <c r="E63" s="29"/>
      <c r="F63" s="16"/>
    </row>
    <row r="64" ht="35.1" customHeight="1" spans="1:6">
      <c r="A64" s="29" t="s">
        <v>208</v>
      </c>
      <c r="B64" s="30"/>
      <c r="C64" s="29"/>
      <c r="D64" s="29"/>
      <c r="E64" s="29"/>
      <c r="F64" s="16"/>
    </row>
    <row r="65" ht="35.1" customHeight="1" spans="1:6">
      <c r="A65" s="37">
        <v>1</v>
      </c>
      <c r="B65" s="38" t="s">
        <v>209</v>
      </c>
      <c r="C65" s="39">
        <v>0.03</v>
      </c>
      <c r="D65" s="12" t="s">
        <v>45</v>
      </c>
      <c r="E65" s="19">
        <v>1</v>
      </c>
      <c r="F65" s="40" t="s">
        <v>210</v>
      </c>
    </row>
    <row r="66" ht="35.1" customHeight="1" spans="1:6">
      <c r="A66" s="37">
        <v>2</v>
      </c>
      <c r="B66" s="38" t="s">
        <v>211</v>
      </c>
      <c r="C66" s="39">
        <v>0.05</v>
      </c>
      <c r="D66" s="12" t="s">
        <v>45</v>
      </c>
      <c r="E66" s="19">
        <v>1</v>
      </c>
      <c r="F66" s="16"/>
    </row>
    <row r="67" ht="35.1" customHeight="1" spans="1:6">
      <c r="A67" s="41"/>
      <c r="B67" s="38" t="s">
        <v>212</v>
      </c>
      <c r="C67" s="39"/>
      <c r="D67" s="12"/>
      <c r="E67" s="19"/>
      <c r="F67" s="16"/>
    </row>
    <row r="68" ht="35.1" customHeight="1" spans="1:6">
      <c r="A68" s="37">
        <v>1</v>
      </c>
      <c r="B68" s="38" t="s">
        <v>213</v>
      </c>
      <c r="C68" s="39">
        <v>0.09</v>
      </c>
      <c r="D68" s="12" t="s">
        <v>45</v>
      </c>
      <c r="E68" s="19">
        <v>1</v>
      </c>
      <c r="F68" s="16"/>
    </row>
    <row r="69" ht="35.1" customHeight="1" spans="1:6">
      <c r="A69" s="41"/>
      <c r="B69" s="38" t="s">
        <v>214</v>
      </c>
      <c r="C69" s="41"/>
      <c r="D69" s="42"/>
      <c r="E69" s="37"/>
      <c r="F69" s="16"/>
    </row>
    <row r="73" ht="30" customHeight="1" spans="4:4">
      <c r="D73" s="2" t="e">
        <f>#REF!/E62</f>
        <v>#REF!</v>
      </c>
    </row>
    <row r="74" ht="30" customHeight="1" spans="4:4">
      <c r="D74" s="2"/>
    </row>
    <row r="75" ht="30" customHeight="1" spans="4:4">
      <c r="D75" s="2"/>
    </row>
  </sheetData>
  <mergeCells count="12">
    <mergeCell ref="A1:F1"/>
    <mergeCell ref="A2:E2"/>
    <mergeCell ref="B4:E4"/>
    <mergeCell ref="A27:E27"/>
    <mergeCell ref="B28:E28"/>
    <mergeCell ref="A60:E60"/>
    <mergeCell ref="B61:E61"/>
    <mergeCell ref="A63:E63"/>
    <mergeCell ref="A64:E64"/>
    <mergeCell ref="D73:E73"/>
    <mergeCell ref="D74:E74"/>
    <mergeCell ref="D75:E75"/>
  </mergeCells>
  <pageMargins left="0.75" right="0.75" top="1" bottom="1" header="0.5" footer="0.5"/>
  <pageSetup paperSize="9" orientation="portrait"/>
  <headerFooter/>
  <ignoredErrors>
    <ignoredError sqref="J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清单</vt:lpstr>
      <vt:lpstr>计算式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万鹏威</cp:lastModifiedBy>
  <dcterms:created xsi:type="dcterms:W3CDTF">2024-05-30T17:18:00Z</dcterms:created>
  <dcterms:modified xsi:type="dcterms:W3CDTF">2026-09-04T05:54:02Z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FB18D2C669AB46498ADD5FC826BA0BBE</vt:lpwstr>
  </property>
  <property fmtid="{D5CDD505-2E9C-101B-9397-08002B2CF9AE}" pid="3" name="KSOProductBuildVer">
    <vt:lpwstr>2052-12.1.0.17145</vt:lpwstr>
  </property>
  <property fmtid="{D5CDD505-2E9C-101B-9397-08002B2CF9AE}" pid="4" name="CalculationRule">
    <vt:i4>0</vt:i4>
  </property>
</Properties>
</file>